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p6\WINDOWS BACK UP\Documents\Escalas Salariales PGN\2020\"/>
    </mc:Choice>
  </mc:AlternateContent>
  <xr:revisionPtr revIDLastSave="0" documentId="8_{74275145-9FC4-4C96-A070-F3A45AD7D216}" xr6:coauthVersionLast="45" xr6:coauthVersionMax="45" xr10:uidLastSave="{00000000-0000-0000-0000-000000000000}"/>
  <bookViews>
    <workbookView xWindow="-120" yWindow="-120" windowWidth="29040" windowHeight="15840" xr2:uid="{C8A5CA98-4274-4885-9E81-A0EAB8AB18CA}"/>
  </bookViews>
  <sheets>
    <sheet name="Escala Salarial" sheetId="1" r:id="rId1"/>
  </sheets>
  <externalReferences>
    <externalReference r:id="rId2"/>
  </externalReferences>
  <definedNames>
    <definedName name="activo" localSheetId="0">[1]DESPLEGABLES!#REF!</definedName>
    <definedName name="activo">[1]DESPLEGABLES!#REF!</definedName>
    <definedName name="bien_o_servicio" localSheetId="0">[1]DESPLEGABLES!#REF!</definedName>
    <definedName name="bien_o_servicio">[1]DESPLEGABLES!#REF!</definedName>
    <definedName name="CPC" localSheetId="0">[1]DESPLEGABLES!#REF!</definedName>
    <definedName name="CPC">[1]DESPLEGABLES!#REF!</definedName>
    <definedName name="Derechos_administrativos" localSheetId="0">[1]DESPLEGABLES!#REF!</definedName>
    <definedName name="Derechos_administrativos">[1]DESPLEGABLES!#REF!</definedName>
    <definedName name="Fondos" localSheetId="0">[1]DESPLEGABLES!#REF!</definedName>
    <definedName name="Fondos">[1]DESPLEGABLES!#REF!</definedName>
    <definedName name="TIPO_DE_INGRESO" localSheetId="0">[1]DESPLEGABLES!#REF!</definedName>
    <definedName name="TIPO_DE_INGRESO">[1]DESPLEGABLES!#REF!</definedName>
    <definedName name="TIPO_DE_INGRESO_A_REGISTRAR" localSheetId="0">[1]DESPLEGABLES!#REF!</definedName>
    <definedName name="TIPO_DE_INGRESO_A_REGISTRAR">[1]DESPLEGABLES!#REF!</definedName>
    <definedName name="TIPO_INGRESO" localSheetId="0">[1]DESPLEGABLES!#REF!</definedName>
    <definedName name="TIPO_INGRESO">[1]DESPLEGABLES!#REF!</definedName>
    <definedName name="Ventas_de_establecimientos_de_mercado" localSheetId="0">[1]DESPLEGABLES!#REF!</definedName>
    <definedName name="Ventas_de_establecimientos_de_mercado">[1]DESPLEGABLES!#REF!</definedName>
    <definedName name="Ventas_incidentales_de_establecimiento_no_de_mercado" localSheetId="0">[1]DESPLEGABLES!#REF!</definedName>
    <definedName name="Ventas_incidentales_de_establecimiento_no_de_mercado">[1]DESPLEGABLES!#REF!</definedName>
    <definedName name="Ventas_incidentales_de_establecimientos_no_de_mercado" localSheetId="0">[1]DESPLEGABLES!#REF!</definedName>
    <definedName name="Ventas_incidentales_de_establecimientos_no_de_mercado">[1]DESPLEGABLES!#REF!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9" i="1" l="1"/>
  <c r="D109" i="1"/>
  <c r="F109" i="1" s="1"/>
  <c r="D108" i="1"/>
  <c r="F108" i="1" s="1"/>
  <c r="F107" i="1"/>
  <c r="D107" i="1"/>
  <c r="F106" i="1"/>
  <c r="E106" i="1"/>
  <c r="D106" i="1"/>
  <c r="D105" i="1"/>
  <c r="F105" i="1" s="1"/>
  <c r="D104" i="1"/>
  <c r="F104" i="1" s="1"/>
  <c r="D103" i="1"/>
  <c r="F103" i="1" s="1"/>
  <c r="E102" i="1"/>
  <c r="D102" i="1"/>
  <c r="F102" i="1" s="1"/>
  <c r="D101" i="1"/>
  <c r="F101" i="1" s="1"/>
  <c r="F100" i="1"/>
  <c r="E100" i="1"/>
  <c r="D100" i="1"/>
  <c r="D99" i="1"/>
  <c r="F99" i="1" s="1"/>
  <c r="D98" i="1"/>
  <c r="F98" i="1" s="1"/>
  <c r="D97" i="1"/>
  <c r="F97" i="1" s="1"/>
  <c r="D96" i="1"/>
  <c r="F96" i="1" s="1"/>
  <c r="D95" i="1"/>
  <c r="F95" i="1" s="1"/>
  <c r="E93" i="1"/>
  <c r="D93" i="1"/>
  <c r="F93" i="1" s="1"/>
  <c r="F92" i="1"/>
  <c r="D92" i="1"/>
  <c r="E91" i="1"/>
  <c r="D91" i="1"/>
  <c r="F91" i="1" s="1"/>
  <c r="D90" i="1"/>
  <c r="F90" i="1" s="1"/>
  <c r="F89" i="1"/>
  <c r="E89" i="1"/>
  <c r="D89" i="1"/>
  <c r="F88" i="1"/>
  <c r="D88" i="1"/>
  <c r="D87" i="1"/>
  <c r="F87" i="1" s="1"/>
  <c r="D86" i="1"/>
  <c r="F86" i="1" s="1"/>
  <c r="F85" i="1"/>
  <c r="D85" i="1"/>
  <c r="E84" i="1"/>
  <c r="D84" i="1"/>
  <c r="F84" i="1" s="1"/>
  <c r="D83" i="1"/>
  <c r="F83" i="1" s="1"/>
  <c r="F82" i="1"/>
  <c r="E82" i="1"/>
  <c r="D82" i="1"/>
  <c r="F81" i="1"/>
  <c r="D81" i="1"/>
  <c r="D80" i="1"/>
  <c r="F80" i="1" s="1"/>
  <c r="D79" i="1"/>
  <c r="F79" i="1" s="1"/>
  <c r="F78" i="1"/>
  <c r="D78" i="1"/>
  <c r="F77" i="1"/>
  <c r="D77" i="1"/>
  <c r="D75" i="1"/>
  <c r="F75" i="1" s="1"/>
  <c r="E74" i="1"/>
  <c r="D74" i="1"/>
  <c r="F74" i="1" s="1"/>
  <c r="D73" i="1"/>
  <c r="F73" i="1" s="1"/>
  <c r="E72" i="1"/>
  <c r="D72" i="1"/>
  <c r="F72" i="1" s="1"/>
  <c r="D71" i="1"/>
  <c r="F71" i="1" s="1"/>
  <c r="F70" i="1"/>
  <c r="E70" i="1"/>
  <c r="D70" i="1"/>
  <c r="D69" i="1"/>
  <c r="F69" i="1" s="1"/>
  <c r="D68" i="1"/>
  <c r="F68" i="1" s="1"/>
  <c r="D67" i="1"/>
  <c r="F67" i="1" s="1"/>
  <c r="F66" i="1"/>
  <c r="E66" i="1"/>
  <c r="D66" i="1"/>
  <c r="D65" i="1"/>
  <c r="F65" i="1" s="1"/>
  <c r="D64" i="1"/>
  <c r="F64" i="1" s="1"/>
  <c r="F63" i="1"/>
  <c r="E63" i="1"/>
  <c r="D63" i="1"/>
  <c r="D62" i="1"/>
  <c r="F62" i="1" s="1"/>
  <c r="E61" i="1"/>
  <c r="D61" i="1"/>
  <c r="F61" i="1" s="1"/>
  <c r="F60" i="1"/>
  <c r="D60" i="1"/>
  <c r="E59" i="1"/>
  <c r="D59" i="1"/>
  <c r="F59" i="1" s="1"/>
  <c r="D58" i="1"/>
  <c r="F58" i="1" s="1"/>
  <c r="F57" i="1"/>
  <c r="E57" i="1"/>
  <c r="D57" i="1"/>
  <c r="F56" i="1"/>
  <c r="D56" i="1"/>
  <c r="E55" i="1"/>
  <c r="D55" i="1"/>
  <c r="F55" i="1" s="1"/>
  <c r="D54" i="1"/>
  <c r="F54" i="1" s="1"/>
  <c r="F53" i="1"/>
  <c r="E53" i="1"/>
  <c r="D53" i="1"/>
  <c r="D52" i="1"/>
  <c r="F52" i="1" s="1"/>
  <c r="D51" i="1"/>
  <c r="F51" i="1" s="1"/>
  <c r="F50" i="1"/>
  <c r="D50" i="1"/>
  <c r="F49" i="1"/>
  <c r="D49" i="1"/>
  <c r="D48" i="1"/>
  <c r="F48" i="1" s="1"/>
  <c r="D47" i="1"/>
  <c r="F47" i="1" s="1"/>
  <c r="F46" i="1"/>
  <c r="D46" i="1"/>
  <c r="F45" i="1"/>
  <c r="D45" i="1"/>
  <c r="D43" i="1"/>
  <c r="F43" i="1" s="1"/>
  <c r="E42" i="1"/>
  <c r="D42" i="1"/>
  <c r="F42" i="1" s="1"/>
  <c r="D41" i="1"/>
  <c r="F41" i="1" s="1"/>
  <c r="E40" i="1"/>
  <c r="D40" i="1"/>
  <c r="F40" i="1" s="1"/>
  <c r="D39" i="1"/>
  <c r="F39" i="1" s="1"/>
  <c r="F38" i="1"/>
  <c r="E38" i="1"/>
  <c r="D38" i="1"/>
  <c r="D37" i="1"/>
  <c r="F37" i="1" s="1"/>
  <c r="I36" i="1"/>
  <c r="G36" i="1"/>
  <c r="D36" i="1"/>
  <c r="I35" i="1"/>
  <c r="G35" i="1"/>
  <c r="D35" i="1"/>
  <c r="D33" i="1"/>
  <c r="F33" i="1" s="1"/>
  <c r="H32" i="1"/>
  <c r="D32" i="1"/>
  <c r="F30" i="1"/>
  <c r="E30" i="1"/>
  <c r="D30" i="1"/>
  <c r="F29" i="1"/>
  <c r="D29" i="1"/>
  <c r="E28" i="1"/>
  <c r="D28" i="1"/>
  <c r="D27" i="1"/>
  <c r="E26" i="1"/>
  <c r="D26" i="1"/>
  <c r="D25" i="1"/>
  <c r="D24" i="1"/>
  <c r="D23" i="1"/>
  <c r="H22" i="1"/>
  <c r="D22" i="1"/>
  <c r="H21" i="1"/>
  <c r="D21" i="1"/>
  <c r="G19" i="1"/>
  <c r="D19" i="1"/>
  <c r="I18" i="1"/>
  <c r="G18" i="1"/>
  <c r="D18" i="1"/>
  <c r="I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G12" i="1"/>
  <c r="D12" i="1"/>
  <c r="G11" i="1"/>
  <c r="D11" i="1"/>
  <c r="G10" i="1"/>
  <c r="D10" i="1"/>
</calcChain>
</file>

<file path=xl/sharedStrings.xml><?xml version="1.0" encoding="utf-8"?>
<sst xmlns="http://schemas.openxmlformats.org/spreadsheetml/2006/main" count="217" uniqueCount="138">
  <si>
    <t>PROCURADURÍA GENERAL DE LA NACIÓN</t>
  </si>
  <si>
    <t>DIVISIÓN DE GESTIÓN HUMANA</t>
  </si>
  <si>
    <t>ESCALA SALARIAL FUNCIONARIOS PÚBLICOS - PGN 2020</t>
  </si>
  <si>
    <t>DENOMINACIÓN DE CARGO</t>
  </si>
  <si>
    <t>Grado</t>
  </si>
  <si>
    <t>Asignación Básica
 Mensual</t>
  </si>
  <si>
    <t>Prima de Antigüedad</t>
  </si>
  <si>
    <t>Prima Mensual Decreto 1544/20</t>
  </si>
  <si>
    <t>Gastos de Representación</t>
  </si>
  <si>
    <t>Prima Técnica</t>
  </si>
  <si>
    <t>Prima Especial de Servicios</t>
  </si>
  <si>
    <t>Bonificación Judicial</t>
  </si>
  <si>
    <t>Bonificación Compensación</t>
  </si>
  <si>
    <t>Básica</t>
  </si>
  <si>
    <t>Mensual</t>
  </si>
  <si>
    <t>NIVEL DIRECTIVO</t>
  </si>
  <si>
    <t>PROCURADOR GRAL. NACION</t>
  </si>
  <si>
    <t>0PG-EA</t>
  </si>
  <si>
    <t>VICEPROCURADOR GENERAL</t>
  </si>
  <si>
    <t>0PV-EA</t>
  </si>
  <si>
    <t>PROCURADOR DELEGADO</t>
  </si>
  <si>
    <t>0PD-EA</t>
  </si>
  <si>
    <t>DIRECTOR</t>
  </si>
  <si>
    <t>0DI-EB</t>
  </si>
  <si>
    <t>PROCURADOR AUXILIAR</t>
  </si>
  <si>
    <t>0PX-EB</t>
  </si>
  <si>
    <t>VEEDOR</t>
  </si>
  <si>
    <t>0VE-EB</t>
  </si>
  <si>
    <t>SECRETARIO GENERAL</t>
  </si>
  <si>
    <t>0SG-EB</t>
  </si>
  <si>
    <t>PROCURADOR REGIONAL</t>
  </si>
  <si>
    <t>0PR-ED</t>
  </si>
  <si>
    <t>PROCURADOR DISTRITAL</t>
  </si>
  <si>
    <t>0PI-EE</t>
  </si>
  <si>
    <t>PROCURADOR PROVINCIAL</t>
  </si>
  <si>
    <t>0PP-EF</t>
  </si>
  <si>
    <t>NIVEL ASESOR</t>
  </si>
  <si>
    <t>SECRETARIO PRIVADO</t>
  </si>
  <si>
    <t>1SP-25</t>
  </si>
  <si>
    <t>JEFE DE OFICINA</t>
  </si>
  <si>
    <t>1JO-25</t>
  </si>
  <si>
    <t>ASESOR</t>
  </si>
  <si>
    <t>1AS-25</t>
  </si>
  <si>
    <t>1AS-24</t>
  </si>
  <si>
    <t>1AS-22</t>
  </si>
  <si>
    <t>ASESOR*</t>
  </si>
  <si>
    <t>1AS-21</t>
  </si>
  <si>
    <t>1AS-19</t>
  </si>
  <si>
    <t>NIVEL EJECUTIVO</t>
  </si>
  <si>
    <t>JEFE DE DIVISION</t>
  </si>
  <si>
    <t>2JD-22</t>
  </si>
  <si>
    <t>TESORERO</t>
  </si>
  <si>
    <t>2TE-21</t>
  </si>
  <si>
    <t>NIVEL PROFESIONAL</t>
  </si>
  <si>
    <t>PROCURADOR JUDICIAL II</t>
  </si>
  <si>
    <t>3PJ-EC</t>
  </si>
  <si>
    <t>PROCURADOR JUDICIAL I</t>
  </si>
  <si>
    <t>3PJ-EG</t>
  </si>
  <si>
    <t>PROFESIONAL UNIVERSITARIO</t>
  </si>
  <si>
    <t>3PU-18</t>
  </si>
  <si>
    <t>PROFESIONAL UNIVERSITARIO*</t>
  </si>
  <si>
    <t>3PU-17</t>
  </si>
  <si>
    <t>3PU-15</t>
  </si>
  <si>
    <t>COORDINADOR ADMINISTRATIVO</t>
  </si>
  <si>
    <t>3CA-17</t>
  </si>
  <si>
    <t>NIVEL TECNICO</t>
  </si>
  <si>
    <t>TECNICO INVESTIGADOR</t>
  </si>
  <si>
    <t>4TI-19</t>
  </si>
  <si>
    <t>4TI-17</t>
  </si>
  <si>
    <t>4TI-15</t>
  </si>
  <si>
    <t>4TI-11</t>
  </si>
  <si>
    <t>TECNICO CRIMINALISTICA</t>
  </si>
  <si>
    <t>4TC-19</t>
  </si>
  <si>
    <t>4TC-17</t>
  </si>
  <si>
    <t>4TC-15</t>
  </si>
  <si>
    <t>SECRETARIO PROCURADURIA</t>
  </si>
  <si>
    <t>4SP-13</t>
  </si>
  <si>
    <t>SECRETARIO PROCURADURIA*</t>
  </si>
  <si>
    <t>4SP-12</t>
  </si>
  <si>
    <t>4SP-11</t>
  </si>
  <si>
    <t>4SP-10</t>
  </si>
  <si>
    <t>TECNICO ADMINISTRATIVO</t>
  </si>
  <si>
    <t>4TM-16</t>
  </si>
  <si>
    <t>TECNICO ADMINISTRATIVO*</t>
  </si>
  <si>
    <t>4TM-14</t>
  </si>
  <si>
    <t>4TM-13</t>
  </si>
  <si>
    <t>4TM-12</t>
  </si>
  <si>
    <t>4TM-11</t>
  </si>
  <si>
    <t>SUSTANCIADOR PJ</t>
  </si>
  <si>
    <t>4SU-11</t>
  </si>
  <si>
    <t>SUSTANCIADOR</t>
  </si>
  <si>
    <t>SUSTANCIADOR*</t>
  </si>
  <si>
    <t>4SU-10</t>
  </si>
  <si>
    <t>4SU-09</t>
  </si>
  <si>
    <t>4SU-08</t>
  </si>
  <si>
    <t>NIVEL ADMINISTRATIVO</t>
  </si>
  <si>
    <t>SECRETARIO  EJECUTIVO</t>
  </si>
  <si>
    <t>5SJ-15</t>
  </si>
  <si>
    <t>SECRETARIO EJECUTIVO</t>
  </si>
  <si>
    <t>5SJ-13</t>
  </si>
  <si>
    <t>5SJ-12</t>
  </si>
  <si>
    <t>CAJERO</t>
  </si>
  <si>
    <t>5CA-13</t>
  </si>
  <si>
    <t>SECRETARIO</t>
  </si>
  <si>
    <t>5SE-11</t>
  </si>
  <si>
    <t>SECRETARIO*</t>
  </si>
  <si>
    <t>5SE-10</t>
  </si>
  <si>
    <t>5SE-09</t>
  </si>
  <si>
    <t>5SE-08</t>
  </si>
  <si>
    <t>AUXILIAR ADMINISTRATIVO</t>
  </si>
  <si>
    <t>5AM-10</t>
  </si>
  <si>
    <t>5AM-09</t>
  </si>
  <si>
    <t>AUXILIAR ADMINISTRATIVO*</t>
  </si>
  <si>
    <t>5AM-08</t>
  </si>
  <si>
    <t>OFICINISTA</t>
  </si>
  <si>
    <t>5OF-06</t>
  </si>
  <si>
    <t>OFICINISTA*</t>
  </si>
  <si>
    <t>NIVEL OPERATIVO</t>
  </si>
  <si>
    <t>AGENTE DE SEGURIDAD</t>
  </si>
  <si>
    <t>6AG-14</t>
  </si>
  <si>
    <t>6AG-13</t>
  </si>
  <si>
    <t>6AG-11</t>
  </si>
  <si>
    <t>CONDUCTOR</t>
  </si>
  <si>
    <t>6CH-08</t>
  </si>
  <si>
    <t>6CH-06</t>
  </si>
  <si>
    <t>CONDUCTOR*</t>
  </si>
  <si>
    <t>AUXILIAR MANTENIMIENTO</t>
  </si>
  <si>
    <t>6AN-06</t>
  </si>
  <si>
    <t>AUXILIAR  MANTENIMIENTO*</t>
  </si>
  <si>
    <t>AUXILIAR SERVICIOS GRALES</t>
  </si>
  <si>
    <t>6AS-06</t>
  </si>
  <si>
    <t>6AN-04</t>
  </si>
  <si>
    <t>6AS-04</t>
  </si>
  <si>
    <t>AUXILIAR SERVICIOS GRALES*</t>
  </si>
  <si>
    <t xml:space="preserve">CITADOR  </t>
  </si>
  <si>
    <t>6CI-04</t>
  </si>
  <si>
    <t>6AS-03</t>
  </si>
  <si>
    <t>* Cargos con Prima de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</si>
</sst>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00_-;\-* #,##0.0000_-;_-* &quot;-&quot;_-;_-@_-"/>
    <numFmt numFmtId="165" formatCode="_-&quot;$&quot;* #,##0_-;\-&quot;$&quot;* #,##0_-;_-&quot;$&quot;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37" fontId="2" fillId="0" borderId="0"/>
    <xf numFmtId="0" fontId="1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37" fontId="2" fillId="0" borderId="0" xfId="3" applyProtection="1">
      <protection locked="0"/>
    </xf>
    <xf numFmtId="37" fontId="3" fillId="0" borderId="0" xfId="3" applyFont="1" applyProtection="1">
      <protection locked="0"/>
    </xf>
    <xf numFmtId="37" fontId="3" fillId="0" borderId="0" xfId="3" applyFont="1" applyAlignment="1" applyProtection="1">
      <alignment horizontal="center"/>
      <protection locked="0"/>
    </xf>
    <xf numFmtId="37" fontId="3" fillId="2" borderId="1" xfId="3" applyFont="1" applyFill="1" applyBorder="1" applyAlignment="1" applyProtection="1">
      <alignment horizontal="center"/>
      <protection locked="0"/>
    </xf>
    <xf numFmtId="37" fontId="3" fillId="2" borderId="2" xfId="3" applyFont="1" applyFill="1" applyBorder="1" applyAlignment="1" applyProtection="1">
      <alignment horizontal="center"/>
      <protection locked="0"/>
    </xf>
    <xf numFmtId="37" fontId="3" fillId="2" borderId="3" xfId="3" applyFont="1" applyFill="1" applyBorder="1" applyAlignment="1" applyProtection="1">
      <alignment horizontal="center"/>
      <protection locked="0"/>
    </xf>
    <xf numFmtId="37" fontId="2" fillId="0" borderId="4" xfId="3" applyBorder="1" applyProtection="1">
      <protection locked="0"/>
    </xf>
    <xf numFmtId="37" fontId="3" fillId="2" borderId="5" xfId="3" applyFont="1" applyFill="1" applyBorder="1" applyAlignment="1" applyProtection="1">
      <alignment horizontal="center"/>
      <protection locked="0"/>
    </xf>
    <xf numFmtId="37" fontId="3" fillId="2" borderId="0" xfId="3" applyFont="1" applyFill="1" applyAlignment="1" applyProtection="1">
      <alignment horizontal="center"/>
      <protection locked="0"/>
    </xf>
    <xf numFmtId="37" fontId="3" fillId="2" borderId="4" xfId="3" applyFont="1" applyFill="1" applyBorder="1" applyAlignment="1" applyProtection="1">
      <alignment horizontal="center"/>
      <protection locked="0"/>
    </xf>
    <xf numFmtId="37" fontId="3" fillId="2" borderId="6" xfId="3" applyFont="1" applyFill="1" applyBorder="1" applyProtection="1">
      <protection locked="0"/>
    </xf>
    <xf numFmtId="37" fontId="3" fillId="2" borderId="7" xfId="3" applyFont="1" applyFill="1" applyBorder="1" applyAlignment="1" applyProtection="1">
      <alignment horizontal="center"/>
      <protection locked="0"/>
    </xf>
    <xf numFmtId="37" fontId="2" fillId="2" borderId="7" xfId="3" applyFill="1" applyBorder="1" applyProtection="1">
      <protection locked="0"/>
    </xf>
    <xf numFmtId="37" fontId="2" fillId="2" borderId="8" xfId="3" applyFill="1" applyBorder="1" applyProtection="1">
      <protection locked="0"/>
    </xf>
    <xf numFmtId="0" fontId="4" fillId="2" borderId="9" xfId="4" applyFont="1" applyFill="1" applyBorder="1" applyAlignment="1" applyProtection="1">
      <alignment horizontal="center" vertical="center" wrapText="1"/>
      <protection locked="0"/>
    </xf>
    <xf numFmtId="37" fontId="5" fillId="3" borderId="10" xfId="3" applyFont="1" applyFill="1" applyBorder="1" applyAlignment="1" applyProtection="1">
      <alignment vertical="center"/>
      <protection locked="0"/>
    </xf>
    <xf numFmtId="37" fontId="5" fillId="3" borderId="11" xfId="3" applyFont="1" applyFill="1" applyBorder="1" applyAlignment="1" applyProtection="1">
      <alignment vertical="center"/>
      <protection locked="0"/>
    </xf>
    <xf numFmtId="37" fontId="5" fillId="3" borderId="12" xfId="3" applyFont="1" applyFill="1" applyBorder="1" applyAlignment="1" applyProtection="1">
      <alignment vertical="center"/>
      <protection locked="0"/>
    </xf>
    <xf numFmtId="164" fontId="6" fillId="0" borderId="0" xfId="1" applyNumberFormat="1" applyFont="1" applyAlignment="1" applyProtection="1">
      <alignment vertical="center"/>
      <protection locked="0"/>
    </xf>
    <xf numFmtId="37" fontId="2" fillId="0" borderId="4" xfId="3" applyBorder="1" applyAlignment="1" applyProtection="1">
      <alignment vertical="center"/>
      <protection locked="0"/>
    </xf>
    <xf numFmtId="37" fontId="2" fillId="0" borderId="9" xfId="3" applyBorder="1" applyAlignment="1" applyProtection="1">
      <alignment vertical="center"/>
      <protection locked="0"/>
    </xf>
    <xf numFmtId="37" fontId="2" fillId="0" borderId="9" xfId="3" applyBorder="1" applyAlignment="1" applyProtection="1">
      <alignment horizontal="center" vertical="center"/>
      <protection locked="0"/>
    </xf>
    <xf numFmtId="165" fontId="2" fillId="0" borderId="9" xfId="5" applyFont="1" applyBorder="1" applyAlignment="1" applyProtection="1">
      <alignment vertical="center"/>
      <protection hidden="1"/>
    </xf>
    <xf numFmtId="42" fontId="2" fillId="0" borderId="0" xfId="2" applyFont="1" applyAlignment="1" applyProtection="1">
      <alignment vertical="center"/>
      <protection locked="0"/>
    </xf>
    <xf numFmtId="37" fontId="2" fillId="0" borderId="0" xfId="3" applyAlignment="1" applyProtection="1">
      <alignment vertical="center"/>
      <protection locked="0"/>
    </xf>
    <xf numFmtId="37" fontId="5" fillId="3" borderId="11" xfId="3" applyFont="1" applyFill="1" applyBorder="1" applyAlignment="1" applyProtection="1">
      <alignment vertical="center"/>
      <protection hidden="1"/>
    </xf>
    <xf numFmtId="37" fontId="5" fillId="3" borderId="12" xfId="3" applyFont="1" applyFill="1" applyBorder="1" applyAlignment="1" applyProtection="1">
      <alignment vertical="center"/>
      <protection hidden="1"/>
    </xf>
    <xf numFmtId="37" fontId="2" fillId="4" borderId="9" xfId="3" applyFill="1" applyBorder="1" applyAlignment="1" applyProtection="1">
      <alignment vertical="center"/>
      <protection locked="0"/>
    </xf>
    <xf numFmtId="37" fontId="2" fillId="4" borderId="9" xfId="3" applyFill="1" applyBorder="1" applyAlignment="1" applyProtection="1">
      <alignment horizontal="center" vertical="center"/>
      <protection locked="0"/>
    </xf>
    <xf numFmtId="165" fontId="2" fillId="4" borderId="9" xfId="5" applyFont="1" applyFill="1" applyBorder="1" applyAlignment="1" applyProtection="1">
      <alignment vertical="center"/>
      <protection hidden="1"/>
    </xf>
    <xf numFmtId="37" fontId="2" fillId="4" borderId="9" xfId="3" applyFill="1" applyBorder="1" applyAlignment="1" applyProtection="1">
      <alignment vertical="center"/>
      <protection hidden="1"/>
    </xf>
    <xf numFmtId="37" fontId="7" fillId="0" borderId="0" xfId="3" applyFont="1" applyProtection="1">
      <protection locked="0"/>
    </xf>
    <xf numFmtId="37" fontId="2" fillId="0" borderId="0" xfId="3" applyAlignment="1" applyProtection="1">
      <alignment horizontal="center"/>
      <protection locked="0"/>
    </xf>
  </cellXfs>
  <cellStyles count="6">
    <cellStyle name="Millares [0]" xfId="1" builtinId="6"/>
    <cellStyle name="Moneda [0]" xfId="2" builtinId="7"/>
    <cellStyle name="Moneda [0] 2" xfId="5" xr:uid="{7C48374E-A346-4D46-9D55-FC92466F02F0}"/>
    <cellStyle name="Normal" xfId="0" builtinId="0"/>
    <cellStyle name="Normal 3" xfId="3" xr:uid="{9B4051F0-53AC-48F7-BAAA-B929414BEBC8}"/>
    <cellStyle name="Normal 4" xfId="4" xr:uid="{2CB42A35-EAAD-4CD4-B526-EE711ABD5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moreno\Downloads\Anteproyecto%202019\2-1%20Formularios%20Planta%20anteproyecto%202019%20V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4- Planta"/>
      <sheetName val="Formulario 4A - Nómina"/>
      <sheetName val="DESPLEGABLE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A22-027E-42BD-8304-73F255796D40}">
  <sheetPr>
    <pageSetUpPr fitToPage="1"/>
  </sheetPr>
  <dimension ref="A1:L132"/>
  <sheetViews>
    <sheetView showGridLines="0" tabSelected="1" zoomScale="80" zoomScaleNormal="80" workbookViewId="0">
      <selection activeCell="L21" sqref="L21"/>
    </sheetView>
  </sheetViews>
  <sheetFormatPr baseColWidth="10" defaultColWidth="0" defaultRowHeight="0" customHeight="1" zeroHeight="1" x14ac:dyDescent="0.2"/>
  <cols>
    <col min="1" max="1" width="6.28515625" style="1" customWidth="1"/>
    <col min="2" max="2" width="33.7109375" style="1" customWidth="1"/>
    <col min="3" max="3" width="15.7109375" style="33" customWidth="1"/>
    <col min="4" max="4" width="20.28515625" style="1" customWidth="1"/>
    <col min="5" max="11" width="18.7109375" style="1" customWidth="1"/>
    <col min="12" max="12" width="16.7109375" style="1" customWidth="1"/>
    <col min="13" max="252" width="11.42578125" style="1" customWidth="1"/>
    <col min="253" max="253" width="10.5703125" style="1" customWidth="1"/>
    <col min="254" max="254" width="6.28515625" style="1" customWidth="1"/>
    <col min="255" max="255" width="37.140625" style="1" customWidth="1"/>
    <col min="256" max="256" width="8.140625" style="1" bestFit="1" customWidth="1"/>
    <col min="257" max="257" width="11.42578125" style="1" customWidth="1"/>
    <col min="258" max="258" width="11.7109375" style="1" bestFit="1" customWidth="1"/>
    <col min="259" max="259" width="14.85546875" style="1" bestFit="1" customWidth="1"/>
    <col min="260" max="260" width="13.28515625" style="1" bestFit="1" customWidth="1"/>
    <col min="261" max="261" width="5.85546875" style="1" customWidth="1"/>
    <col min="262" max="262" width="11.42578125" style="1" customWidth="1"/>
    <col min="263" max="509" width="0" style="1" hidden="1"/>
    <col min="510" max="510" width="6.28515625" style="1" customWidth="1"/>
    <col min="511" max="511" width="37.140625" style="1" customWidth="1"/>
    <col min="512" max="512" width="8.140625" style="1" bestFit="1" customWidth="1"/>
    <col min="513" max="513" width="11.42578125" style="1" customWidth="1"/>
    <col min="514" max="514" width="11.7109375" style="1" bestFit="1" customWidth="1"/>
    <col min="515" max="515" width="14.85546875" style="1" bestFit="1" customWidth="1"/>
    <col min="516" max="516" width="13.28515625" style="1" bestFit="1" customWidth="1"/>
    <col min="517" max="517" width="5.85546875" style="1" customWidth="1"/>
    <col min="518" max="518" width="11.42578125" style="1" customWidth="1"/>
    <col min="519" max="765" width="0" style="1" hidden="1"/>
    <col min="766" max="766" width="6.28515625" style="1" customWidth="1"/>
    <col min="767" max="767" width="37.140625" style="1" customWidth="1"/>
    <col min="768" max="768" width="8.140625" style="1" bestFit="1" customWidth="1"/>
    <col min="769" max="769" width="11.42578125" style="1" customWidth="1"/>
    <col min="770" max="770" width="11.7109375" style="1" bestFit="1" customWidth="1"/>
    <col min="771" max="771" width="14.85546875" style="1" bestFit="1" customWidth="1"/>
    <col min="772" max="772" width="13.28515625" style="1" bestFit="1" customWidth="1"/>
    <col min="773" max="773" width="5.85546875" style="1" customWidth="1"/>
    <col min="774" max="774" width="11.42578125" style="1" customWidth="1"/>
    <col min="775" max="1021" width="0" style="1" hidden="1"/>
    <col min="1022" max="1022" width="6.28515625" style="1" customWidth="1"/>
    <col min="1023" max="1023" width="37.140625" style="1" customWidth="1"/>
    <col min="1024" max="1024" width="8.140625" style="1" bestFit="1" customWidth="1"/>
    <col min="1025" max="1025" width="11.42578125" style="1" customWidth="1"/>
    <col min="1026" max="1026" width="11.7109375" style="1" bestFit="1" customWidth="1"/>
    <col min="1027" max="1027" width="14.85546875" style="1" bestFit="1" customWidth="1"/>
    <col min="1028" max="1028" width="13.28515625" style="1" bestFit="1" customWidth="1"/>
    <col min="1029" max="1029" width="5.85546875" style="1" customWidth="1"/>
    <col min="1030" max="1030" width="11.42578125" style="1" customWidth="1"/>
    <col min="1031" max="1277" width="0" style="1" hidden="1"/>
    <col min="1278" max="1278" width="6.28515625" style="1" customWidth="1"/>
    <col min="1279" max="1279" width="37.140625" style="1" customWidth="1"/>
    <col min="1280" max="1280" width="8.140625" style="1" bestFit="1" customWidth="1"/>
    <col min="1281" max="1281" width="11.42578125" style="1" customWidth="1"/>
    <col min="1282" max="1282" width="11.7109375" style="1" bestFit="1" customWidth="1"/>
    <col min="1283" max="1283" width="14.85546875" style="1" bestFit="1" customWidth="1"/>
    <col min="1284" max="1284" width="13.28515625" style="1" bestFit="1" customWidth="1"/>
    <col min="1285" max="1285" width="5.85546875" style="1" customWidth="1"/>
    <col min="1286" max="1286" width="11.42578125" style="1" customWidth="1"/>
    <col min="1287" max="1533" width="0" style="1" hidden="1"/>
    <col min="1534" max="1534" width="6.28515625" style="1" customWidth="1"/>
    <col min="1535" max="1535" width="37.140625" style="1" customWidth="1"/>
    <col min="1536" max="1536" width="8.140625" style="1" bestFit="1" customWidth="1"/>
    <col min="1537" max="1537" width="11.42578125" style="1" customWidth="1"/>
    <col min="1538" max="1538" width="11.7109375" style="1" bestFit="1" customWidth="1"/>
    <col min="1539" max="1539" width="14.85546875" style="1" bestFit="1" customWidth="1"/>
    <col min="1540" max="1540" width="13.28515625" style="1" bestFit="1" customWidth="1"/>
    <col min="1541" max="1541" width="5.85546875" style="1" customWidth="1"/>
    <col min="1542" max="1542" width="11.42578125" style="1" customWidth="1"/>
    <col min="1543" max="1789" width="0" style="1" hidden="1"/>
    <col min="1790" max="1790" width="6.28515625" style="1" customWidth="1"/>
    <col min="1791" max="1791" width="37.140625" style="1" customWidth="1"/>
    <col min="1792" max="1792" width="8.140625" style="1" bestFit="1" customWidth="1"/>
    <col min="1793" max="1793" width="11.42578125" style="1" customWidth="1"/>
    <col min="1794" max="1794" width="11.7109375" style="1" bestFit="1" customWidth="1"/>
    <col min="1795" max="1795" width="14.85546875" style="1" bestFit="1" customWidth="1"/>
    <col min="1796" max="1796" width="13.28515625" style="1" bestFit="1" customWidth="1"/>
    <col min="1797" max="1797" width="5.85546875" style="1" customWidth="1"/>
    <col min="1798" max="1798" width="11.42578125" style="1" customWidth="1"/>
    <col min="1799" max="2045" width="0" style="1" hidden="1"/>
    <col min="2046" max="2046" width="6.28515625" style="1" customWidth="1"/>
    <col min="2047" max="2047" width="37.140625" style="1" customWidth="1"/>
    <col min="2048" max="2048" width="8.140625" style="1" bestFit="1" customWidth="1"/>
    <col min="2049" max="2049" width="11.42578125" style="1" customWidth="1"/>
    <col min="2050" max="2050" width="11.7109375" style="1" bestFit="1" customWidth="1"/>
    <col min="2051" max="2051" width="14.85546875" style="1" bestFit="1" customWidth="1"/>
    <col min="2052" max="2052" width="13.28515625" style="1" bestFit="1" customWidth="1"/>
    <col min="2053" max="2053" width="5.85546875" style="1" customWidth="1"/>
    <col min="2054" max="2054" width="11.42578125" style="1" customWidth="1"/>
    <col min="2055" max="2301" width="0" style="1" hidden="1"/>
    <col min="2302" max="2302" width="6.28515625" style="1" customWidth="1"/>
    <col min="2303" max="2303" width="37.140625" style="1" customWidth="1"/>
    <col min="2304" max="2304" width="8.140625" style="1" bestFit="1" customWidth="1"/>
    <col min="2305" max="2305" width="11.42578125" style="1" customWidth="1"/>
    <col min="2306" max="2306" width="11.7109375" style="1" bestFit="1" customWidth="1"/>
    <col min="2307" max="2307" width="14.85546875" style="1" bestFit="1" customWidth="1"/>
    <col min="2308" max="2308" width="13.28515625" style="1" bestFit="1" customWidth="1"/>
    <col min="2309" max="2309" width="5.85546875" style="1" customWidth="1"/>
    <col min="2310" max="2310" width="11.42578125" style="1" customWidth="1"/>
    <col min="2311" max="2557" width="0" style="1" hidden="1"/>
    <col min="2558" max="2558" width="6.28515625" style="1" customWidth="1"/>
    <col min="2559" max="2559" width="37.140625" style="1" customWidth="1"/>
    <col min="2560" max="2560" width="8.140625" style="1" bestFit="1" customWidth="1"/>
    <col min="2561" max="2561" width="11.42578125" style="1" customWidth="1"/>
    <col min="2562" max="2562" width="11.7109375" style="1" bestFit="1" customWidth="1"/>
    <col min="2563" max="2563" width="14.85546875" style="1" bestFit="1" customWidth="1"/>
    <col min="2564" max="2564" width="13.28515625" style="1" bestFit="1" customWidth="1"/>
    <col min="2565" max="2565" width="5.85546875" style="1" customWidth="1"/>
    <col min="2566" max="2566" width="11.42578125" style="1" customWidth="1"/>
    <col min="2567" max="2813" width="0" style="1" hidden="1"/>
    <col min="2814" max="2814" width="6.28515625" style="1" customWidth="1"/>
    <col min="2815" max="2815" width="37.140625" style="1" customWidth="1"/>
    <col min="2816" max="2816" width="8.140625" style="1" bestFit="1" customWidth="1"/>
    <col min="2817" max="2817" width="11.42578125" style="1" customWidth="1"/>
    <col min="2818" max="2818" width="11.7109375" style="1" bestFit="1" customWidth="1"/>
    <col min="2819" max="2819" width="14.85546875" style="1" bestFit="1" customWidth="1"/>
    <col min="2820" max="2820" width="13.28515625" style="1" bestFit="1" customWidth="1"/>
    <col min="2821" max="2821" width="5.85546875" style="1" customWidth="1"/>
    <col min="2822" max="2822" width="11.42578125" style="1" customWidth="1"/>
    <col min="2823" max="3069" width="0" style="1" hidden="1"/>
    <col min="3070" max="3070" width="6.28515625" style="1" customWidth="1"/>
    <col min="3071" max="3071" width="37.140625" style="1" customWidth="1"/>
    <col min="3072" max="3072" width="8.140625" style="1" bestFit="1" customWidth="1"/>
    <col min="3073" max="3073" width="11.42578125" style="1" customWidth="1"/>
    <col min="3074" max="3074" width="11.7109375" style="1" bestFit="1" customWidth="1"/>
    <col min="3075" max="3075" width="14.85546875" style="1" bestFit="1" customWidth="1"/>
    <col min="3076" max="3076" width="13.28515625" style="1" bestFit="1" customWidth="1"/>
    <col min="3077" max="3077" width="5.85546875" style="1" customWidth="1"/>
    <col min="3078" max="3078" width="11.42578125" style="1" customWidth="1"/>
    <col min="3079" max="3325" width="0" style="1" hidden="1"/>
    <col min="3326" max="3326" width="6.28515625" style="1" customWidth="1"/>
    <col min="3327" max="3327" width="37.140625" style="1" customWidth="1"/>
    <col min="3328" max="3328" width="8.140625" style="1" bestFit="1" customWidth="1"/>
    <col min="3329" max="3329" width="11.42578125" style="1" customWidth="1"/>
    <col min="3330" max="3330" width="11.7109375" style="1" bestFit="1" customWidth="1"/>
    <col min="3331" max="3331" width="14.85546875" style="1" bestFit="1" customWidth="1"/>
    <col min="3332" max="3332" width="13.28515625" style="1" bestFit="1" customWidth="1"/>
    <col min="3333" max="3333" width="5.85546875" style="1" customWidth="1"/>
    <col min="3334" max="3334" width="11.42578125" style="1" customWidth="1"/>
    <col min="3335" max="3581" width="0" style="1" hidden="1"/>
    <col min="3582" max="3582" width="6.28515625" style="1" customWidth="1"/>
    <col min="3583" max="3583" width="37.140625" style="1" customWidth="1"/>
    <col min="3584" max="3584" width="8.140625" style="1" bestFit="1" customWidth="1"/>
    <col min="3585" max="3585" width="11.42578125" style="1" customWidth="1"/>
    <col min="3586" max="3586" width="11.7109375" style="1" bestFit="1" customWidth="1"/>
    <col min="3587" max="3587" width="14.85546875" style="1" bestFit="1" customWidth="1"/>
    <col min="3588" max="3588" width="13.28515625" style="1" bestFit="1" customWidth="1"/>
    <col min="3589" max="3589" width="5.85546875" style="1" customWidth="1"/>
    <col min="3590" max="3590" width="11.42578125" style="1" customWidth="1"/>
    <col min="3591" max="3837" width="0" style="1" hidden="1"/>
    <col min="3838" max="3838" width="6.28515625" style="1" customWidth="1"/>
    <col min="3839" max="3839" width="37.140625" style="1" customWidth="1"/>
    <col min="3840" max="3840" width="8.140625" style="1" bestFit="1" customWidth="1"/>
    <col min="3841" max="3841" width="11.42578125" style="1" customWidth="1"/>
    <col min="3842" max="3842" width="11.7109375" style="1" bestFit="1" customWidth="1"/>
    <col min="3843" max="3843" width="14.85546875" style="1" bestFit="1" customWidth="1"/>
    <col min="3844" max="3844" width="13.28515625" style="1" bestFit="1" customWidth="1"/>
    <col min="3845" max="3845" width="5.85546875" style="1" customWidth="1"/>
    <col min="3846" max="3846" width="11.42578125" style="1" customWidth="1"/>
    <col min="3847" max="4093" width="0" style="1" hidden="1"/>
    <col min="4094" max="4094" width="6.28515625" style="1" customWidth="1"/>
    <col min="4095" max="4095" width="37.140625" style="1" customWidth="1"/>
    <col min="4096" max="4096" width="8.140625" style="1" bestFit="1" customWidth="1"/>
    <col min="4097" max="4097" width="11.42578125" style="1" customWidth="1"/>
    <col min="4098" max="4098" width="11.7109375" style="1" bestFit="1" customWidth="1"/>
    <col min="4099" max="4099" width="14.85546875" style="1" bestFit="1" customWidth="1"/>
    <col min="4100" max="4100" width="13.28515625" style="1" bestFit="1" customWidth="1"/>
    <col min="4101" max="4101" width="5.85546875" style="1" customWidth="1"/>
    <col min="4102" max="4102" width="11.42578125" style="1" customWidth="1"/>
    <col min="4103" max="4349" width="0" style="1" hidden="1"/>
    <col min="4350" max="4350" width="6.28515625" style="1" customWidth="1"/>
    <col min="4351" max="4351" width="37.140625" style="1" customWidth="1"/>
    <col min="4352" max="4352" width="8.140625" style="1" bestFit="1" customWidth="1"/>
    <col min="4353" max="4353" width="11.42578125" style="1" customWidth="1"/>
    <col min="4354" max="4354" width="11.7109375" style="1" bestFit="1" customWidth="1"/>
    <col min="4355" max="4355" width="14.85546875" style="1" bestFit="1" customWidth="1"/>
    <col min="4356" max="4356" width="13.28515625" style="1" bestFit="1" customWidth="1"/>
    <col min="4357" max="4357" width="5.85546875" style="1" customWidth="1"/>
    <col min="4358" max="4358" width="11.42578125" style="1" customWidth="1"/>
    <col min="4359" max="4605" width="0" style="1" hidden="1"/>
    <col min="4606" max="4606" width="6.28515625" style="1" customWidth="1"/>
    <col min="4607" max="4607" width="37.140625" style="1" customWidth="1"/>
    <col min="4608" max="4608" width="8.140625" style="1" bestFit="1" customWidth="1"/>
    <col min="4609" max="4609" width="11.42578125" style="1" customWidth="1"/>
    <col min="4610" max="4610" width="11.7109375" style="1" bestFit="1" customWidth="1"/>
    <col min="4611" max="4611" width="14.85546875" style="1" bestFit="1" customWidth="1"/>
    <col min="4612" max="4612" width="13.28515625" style="1" bestFit="1" customWidth="1"/>
    <col min="4613" max="4613" width="5.85546875" style="1" customWidth="1"/>
    <col min="4614" max="4614" width="11.42578125" style="1" customWidth="1"/>
    <col min="4615" max="4861" width="0" style="1" hidden="1"/>
    <col min="4862" max="4862" width="6.28515625" style="1" customWidth="1"/>
    <col min="4863" max="4863" width="37.140625" style="1" customWidth="1"/>
    <col min="4864" max="4864" width="8.140625" style="1" bestFit="1" customWidth="1"/>
    <col min="4865" max="4865" width="11.42578125" style="1" customWidth="1"/>
    <col min="4866" max="4866" width="11.7109375" style="1" bestFit="1" customWidth="1"/>
    <col min="4867" max="4867" width="14.85546875" style="1" bestFit="1" customWidth="1"/>
    <col min="4868" max="4868" width="13.28515625" style="1" bestFit="1" customWidth="1"/>
    <col min="4869" max="4869" width="5.85546875" style="1" customWidth="1"/>
    <col min="4870" max="4870" width="11.42578125" style="1" customWidth="1"/>
    <col min="4871" max="5117" width="0" style="1" hidden="1"/>
    <col min="5118" max="5118" width="6.28515625" style="1" customWidth="1"/>
    <col min="5119" max="5119" width="37.140625" style="1" customWidth="1"/>
    <col min="5120" max="5120" width="8.140625" style="1" bestFit="1" customWidth="1"/>
    <col min="5121" max="5121" width="11.42578125" style="1" customWidth="1"/>
    <col min="5122" max="5122" width="11.7109375" style="1" bestFit="1" customWidth="1"/>
    <col min="5123" max="5123" width="14.85546875" style="1" bestFit="1" customWidth="1"/>
    <col min="5124" max="5124" width="13.28515625" style="1" bestFit="1" customWidth="1"/>
    <col min="5125" max="5125" width="5.85546875" style="1" customWidth="1"/>
    <col min="5126" max="5126" width="11.42578125" style="1" customWidth="1"/>
    <col min="5127" max="5373" width="0" style="1" hidden="1"/>
    <col min="5374" max="5374" width="6.28515625" style="1" customWidth="1"/>
    <col min="5375" max="5375" width="37.140625" style="1" customWidth="1"/>
    <col min="5376" max="5376" width="8.140625" style="1" bestFit="1" customWidth="1"/>
    <col min="5377" max="5377" width="11.42578125" style="1" customWidth="1"/>
    <col min="5378" max="5378" width="11.7109375" style="1" bestFit="1" customWidth="1"/>
    <col min="5379" max="5379" width="14.85546875" style="1" bestFit="1" customWidth="1"/>
    <col min="5380" max="5380" width="13.28515625" style="1" bestFit="1" customWidth="1"/>
    <col min="5381" max="5381" width="5.85546875" style="1" customWidth="1"/>
    <col min="5382" max="5382" width="11.42578125" style="1" customWidth="1"/>
    <col min="5383" max="5629" width="0" style="1" hidden="1"/>
    <col min="5630" max="5630" width="6.28515625" style="1" customWidth="1"/>
    <col min="5631" max="5631" width="37.140625" style="1" customWidth="1"/>
    <col min="5632" max="5632" width="8.140625" style="1" bestFit="1" customWidth="1"/>
    <col min="5633" max="5633" width="11.42578125" style="1" customWidth="1"/>
    <col min="5634" max="5634" width="11.7109375" style="1" bestFit="1" customWidth="1"/>
    <col min="5635" max="5635" width="14.85546875" style="1" bestFit="1" customWidth="1"/>
    <col min="5636" max="5636" width="13.28515625" style="1" bestFit="1" customWidth="1"/>
    <col min="5637" max="5637" width="5.85546875" style="1" customWidth="1"/>
    <col min="5638" max="5638" width="11.42578125" style="1" customWidth="1"/>
    <col min="5639" max="5885" width="0" style="1" hidden="1"/>
    <col min="5886" max="5886" width="6.28515625" style="1" customWidth="1"/>
    <col min="5887" max="5887" width="37.140625" style="1" customWidth="1"/>
    <col min="5888" max="5888" width="8.140625" style="1" bestFit="1" customWidth="1"/>
    <col min="5889" max="5889" width="11.42578125" style="1" customWidth="1"/>
    <col min="5890" max="5890" width="11.7109375" style="1" bestFit="1" customWidth="1"/>
    <col min="5891" max="5891" width="14.85546875" style="1" bestFit="1" customWidth="1"/>
    <col min="5892" max="5892" width="13.28515625" style="1" bestFit="1" customWidth="1"/>
    <col min="5893" max="5893" width="5.85546875" style="1" customWidth="1"/>
    <col min="5894" max="5894" width="11.42578125" style="1" customWidth="1"/>
    <col min="5895" max="6141" width="0" style="1" hidden="1"/>
    <col min="6142" max="6142" width="6.28515625" style="1" customWidth="1"/>
    <col min="6143" max="6143" width="37.140625" style="1" customWidth="1"/>
    <col min="6144" max="6144" width="8.140625" style="1" bestFit="1" customWidth="1"/>
    <col min="6145" max="6145" width="11.42578125" style="1" customWidth="1"/>
    <col min="6146" max="6146" width="11.7109375" style="1" bestFit="1" customWidth="1"/>
    <col min="6147" max="6147" width="14.85546875" style="1" bestFit="1" customWidth="1"/>
    <col min="6148" max="6148" width="13.28515625" style="1" bestFit="1" customWidth="1"/>
    <col min="6149" max="6149" width="5.85546875" style="1" customWidth="1"/>
    <col min="6150" max="6150" width="11.42578125" style="1" customWidth="1"/>
    <col min="6151" max="6397" width="0" style="1" hidden="1"/>
    <col min="6398" max="6398" width="6.28515625" style="1" customWidth="1"/>
    <col min="6399" max="6399" width="37.140625" style="1" customWidth="1"/>
    <col min="6400" max="6400" width="8.140625" style="1" bestFit="1" customWidth="1"/>
    <col min="6401" max="6401" width="11.42578125" style="1" customWidth="1"/>
    <col min="6402" max="6402" width="11.7109375" style="1" bestFit="1" customWidth="1"/>
    <col min="6403" max="6403" width="14.85546875" style="1" bestFit="1" customWidth="1"/>
    <col min="6404" max="6404" width="13.28515625" style="1" bestFit="1" customWidth="1"/>
    <col min="6405" max="6405" width="5.85546875" style="1" customWidth="1"/>
    <col min="6406" max="6406" width="11.42578125" style="1" customWidth="1"/>
    <col min="6407" max="6653" width="0" style="1" hidden="1"/>
    <col min="6654" max="6654" width="6.28515625" style="1" customWidth="1"/>
    <col min="6655" max="6655" width="37.140625" style="1" customWidth="1"/>
    <col min="6656" max="6656" width="8.140625" style="1" bestFit="1" customWidth="1"/>
    <col min="6657" max="6657" width="11.42578125" style="1" customWidth="1"/>
    <col min="6658" max="6658" width="11.7109375" style="1" bestFit="1" customWidth="1"/>
    <col min="6659" max="6659" width="14.85546875" style="1" bestFit="1" customWidth="1"/>
    <col min="6660" max="6660" width="13.28515625" style="1" bestFit="1" customWidth="1"/>
    <col min="6661" max="6661" width="5.85546875" style="1" customWidth="1"/>
    <col min="6662" max="6662" width="11.42578125" style="1" customWidth="1"/>
    <col min="6663" max="6909" width="0" style="1" hidden="1"/>
    <col min="6910" max="6910" width="6.28515625" style="1" customWidth="1"/>
    <col min="6911" max="6911" width="37.140625" style="1" customWidth="1"/>
    <col min="6912" max="6912" width="8.140625" style="1" bestFit="1" customWidth="1"/>
    <col min="6913" max="6913" width="11.42578125" style="1" customWidth="1"/>
    <col min="6914" max="6914" width="11.7109375" style="1" bestFit="1" customWidth="1"/>
    <col min="6915" max="6915" width="14.85546875" style="1" bestFit="1" customWidth="1"/>
    <col min="6916" max="6916" width="13.28515625" style="1" bestFit="1" customWidth="1"/>
    <col min="6917" max="6917" width="5.85546875" style="1" customWidth="1"/>
    <col min="6918" max="6918" width="11.42578125" style="1" customWidth="1"/>
    <col min="6919" max="7165" width="0" style="1" hidden="1"/>
    <col min="7166" max="7166" width="6.28515625" style="1" customWidth="1"/>
    <col min="7167" max="7167" width="37.140625" style="1" customWidth="1"/>
    <col min="7168" max="7168" width="8.140625" style="1" bestFit="1" customWidth="1"/>
    <col min="7169" max="7169" width="11.42578125" style="1" customWidth="1"/>
    <col min="7170" max="7170" width="11.7109375" style="1" bestFit="1" customWidth="1"/>
    <col min="7171" max="7171" width="14.85546875" style="1" bestFit="1" customWidth="1"/>
    <col min="7172" max="7172" width="13.28515625" style="1" bestFit="1" customWidth="1"/>
    <col min="7173" max="7173" width="5.85546875" style="1" customWidth="1"/>
    <col min="7174" max="7174" width="11.42578125" style="1" customWidth="1"/>
    <col min="7175" max="7421" width="0" style="1" hidden="1"/>
    <col min="7422" max="7422" width="6.28515625" style="1" customWidth="1"/>
    <col min="7423" max="7423" width="37.140625" style="1" customWidth="1"/>
    <col min="7424" max="7424" width="8.140625" style="1" bestFit="1" customWidth="1"/>
    <col min="7425" max="7425" width="11.42578125" style="1" customWidth="1"/>
    <col min="7426" max="7426" width="11.7109375" style="1" bestFit="1" customWidth="1"/>
    <col min="7427" max="7427" width="14.85546875" style="1" bestFit="1" customWidth="1"/>
    <col min="7428" max="7428" width="13.28515625" style="1" bestFit="1" customWidth="1"/>
    <col min="7429" max="7429" width="5.85546875" style="1" customWidth="1"/>
    <col min="7430" max="7430" width="11.42578125" style="1" customWidth="1"/>
    <col min="7431" max="7677" width="0" style="1" hidden="1"/>
    <col min="7678" max="7678" width="6.28515625" style="1" customWidth="1"/>
    <col min="7679" max="7679" width="37.140625" style="1" customWidth="1"/>
    <col min="7680" max="7680" width="8.140625" style="1" bestFit="1" customWidth="1"/>
    <col min="7681" max="7681" width="11.42578125" style="1" customWidth="1"/>
    <col min="7682" max="7682" width="11.7109375" style="1" bestFit="1" customWidth="1"/>
    <col min="7683" max="7683" width="14.85546875" style="1" bestFit="1" customWidth="1"/>
    <col min="7684" max="7684" width="13.28515625" style="1" bestFit="1" customWidth="1"/>
    <col min="7685" max="7685" width="5.85546875" style="1" customWidth="1"/>
    <col min="7686" max="7686" width="11.42578125" style="1" customWidth="1"/>
    <col min="7687" max="7933" width="0" style="1" hidden="1"/>
    <col min="7934" max="7934" width="6.28515625" style="1" customWidth="1"/>
    <col min="7935" max="7935" width="37.140625" style="1" customWidth="1"/>
    <col min="7936" max="7936" width="8.140625" style="1" bestFit="1" customWidth="1"/>
    <col min="7937" max="7937" width="11.42578125" style="1" customWidth="1"/>
    <col min="7938" max="7938" width="11.7109375" style="1" bestFit="1" customWidth="1"/>
    <col min="7939" max="7939" width="14.85546875" style="1" bestFit="1" customWidth="1"/>
    <col min="7940" max="7940" width="13.28515625" style="1" bestFit="1" customWidth="1"/>
    <col min="7941" max="7941" width="5.85546875" style="1" customWidth="1"/>
    <col min="7942" max="7942" width="11.42578125" style="1" customWidth="1"/>
    <col min="7943" max="8189" width="0" style="1" hidden="1"/>
    <col min="8190" max="8190" width="6.28515625" style="1" customWidth="1"/>
    <col min="8191" max="8191" width="37.140625" style="1" customWidth="1"/>
    <col min="8192" max="8192" width="8.140625" style="1" bestFit="1" customWidth="1"/>
    <col min="8193" max="8193" width="11.42578125" style="1" customWidth="1"/>
    <col min="8194" max="8194" width="11.7109375" style="1" bestFit="1" customWidth="1"/>
    <col min="8195" max="8195" width="14.85546875" style="1" bestFit="1" customWidth="1"/>
    <col min="8196" max="8196" width="13.28515625" style="1" bestFit="1" customWidth="1"/>
    <col min="8197" max="8197" width="5.85546875" style="1" customWidth="1"/>
    <col min="8198" max="8198" width="11.42578125" style="1" customWidth="1"/>
    <col min="8199" max="8445" width="0" style="1" hidden="1"/>
    <col min="8446" max="8446" width="6.28515625" style="1" customWidth="1"/>
    <col min="8447" max="8447" width="37.140625" style="1" customWidth="1"/>
    <col min="8448" max="8448" width="8.140625" style="1" bestFit="1" customWidth="1"/>
    <col min="8449" max="8449" width="11.42578125" style="1" customWidth="1"/>
    <col min="8450" max="8450" width="11.7109375" style="1" bestFit="1" customWidth="1"/>
    <col min="8451" max="8451" width="14.85546875" style="1" bestFit="1" customWidth="1"/>
    <col min="8452" max="8452" width="13.28515625" style="1" bestFit="1" customWidth="1"/>
    <col min="8453" max="8453" width="5.85546875" style="1" customWidth="1"/>
    <col min="8454" max="8454" width="11.42578125" style="1" customWidth="1"/>
    <col min="8455" max="8701" width="0" style="1" hidden="1"/>
    <col min="8702" max="8702" width="6.28515625" style="1" customWidth="1"/>
    <col min="8703" max="8703" width="37.140625" style="1" customWidth="1"/>
    <col min="8704" max="8704" width="8.140625" style="1" bestFit="1" customWidth="1"/>
    <col min="8705" max="8705" width="11.42578125" style="1" customWidth="1"/>
    <col min="8706" max="8706" width="11.7109375" style="1" bestFit="1" customWidth="1"/>
    <col min="8707" max="8707" width="14.85546875" style="1" bestFit="1" customWidth="1"/>
    <col min="8708" max="8708" width="13.28515625" style="1" bestFit="1" customWidth="1"/>
    <col min="8709" max="8709" width="5.85546875" style="1" customWidth="1"/>
    <col min="8710" max="8710" width="11.42578125" style="1" customWidth="1"/>
    <col min="8711" max="8957" width="0" style="1" hidden="1"/>
    <col min="8958" max="8958" width="6.28515625" style="1" customWidth="1"/>
    <col min="8959" max="8959" width="37.140625" style="1" customWidth="1"/>
    <col min="8960" max="8960" width="8.140625" style="1" bestFit="1" customWidth="1"/>
    <col min="8961" max="8961" width="11.42578125" style="1" customWidth="1"/>
    <col min="8962" max="8962" width="11.7109375" style="1" bestFit="1" customWidth="1"/>
    <col min="8963" max="8963" width="14.85546875" style="1" bestFit="1" customWidth="1"/>
    <col min="8964" max="8964" width="13.28515625" style="1" bestFit="1" customWidth="1"/>
    <col min="8965" max="8965" width="5.85546875" style="1" customWidth="1"/>
    <col min="8966" max="8966" width="11.42578125" style="1" customWidth="1"/>
    <col min="8967" max="9213" width="0" style="1" hidden="1"/>
    <col min="9214" max="9214" width="6.28515625" style="1" customWidth="1"/>
    <col min="9215" max="9215" width="37.140625" style="1" customWidth="1"/>
    <col min="9216" max="9216" width="8.140625" style="1" bestFit="1" customWidth="1"/>
    <col min="9217" max="9217" width="11.42578125" style="1" customWidth="1"/>
    <col min="9218" max="9218" width="11.7109375" style="1" bestFit="1" customWidth="1"/>
    <col min="9219" max="9219" width="14.85546875" style="1" bestFit="1" customWidth="1"/>
    <col min="9220" max="9220" width="13.28515625" style="1" bestFit="1" customWidth="1"/>
    <col min="9221" max="9221" width="5.85546875" style="1" customWidth="1"/>
    <col min="9222" max="9222" width="11.42578125" style="1" customWidth="1"/>
    <col min="9223" max="9469" width="0" style="1" hidden="1"/>
    <col min="9470" max="9470" width="6.28515625" style="1" customWidth="1"/>
    <col min="9471" max="9471" width="37.140625" style="1" customWidth="1"/>
    <col min="9472" max="9472" width="8.140625" style="1" bestFit="1" customWidth="1"/>
    <col min="9473" max="9473" width="11.42578125" style="1" customWidth="1"/>
    <col min="9474" max="9474" width="11.7109375" style="1" bestFit="1" customWidth="1"/>
    <col min="9475" max="9475" width="14.85546875" style="1" bestFit="1" customWidth="1"/>
    <col min="9476" max="9476" width="13.28515625" style="1" bestFit="1" customWidth="1"/>
    <col min="9477" max="9477" width="5.85546875" style="1" customWidth="1"/>
    <col min="9478" max="9478" width="11.42578125" style="1" customWidth="1"/>
    <col min="9479" max="9725" width="0" style="1" hidden="1"/>
    <col min="9726" max="9726" width="6.28515625" style="1" customWidth="1"/>
    <col min="9727" max="9727" width="37.140625" style="1" customWidth="1"/>
    <col min="9728" max="9728" width="8.140625" style="1" bestFit="1" customWidth="1"/>
    <col min="9729" max="9729" width="11.42578125" style="1" customWidth="1"/>
    <col min="9730" max="9730" width="11.7109375" style="1" bestFit="1" customWidth="1"/>
    <col min="9731" max="9731" width="14.85546875" style="1" bestFit="1" customWidth="1"/>
    <col min="9732" max="9732" width="13.28515625" style="1" bestFit="1" customWidth="1"/>
    <col min="9733" max="9733" width="5.85546875" style="1" customWidth="1"/>
    <col min="9734" max="9734" width="11.42578125" style="1" customWidth="1"/>
    <col min="9735" max="9981" width="0" style="1" hidden="1"/>
    <col min="9982" max="9982" width="6.28515625" style="1" customWidth="1"/>
    <col min="9983" max="9983" width="37.140625" style="1" customWidth="1"/>
    <col min="9984" max="9984" width="8.140625" style="1" bestFit="1" customWidth="1"/>
    <col min="9985" max="9985" width="11.42578125" style="1" customWidth="1"/>
    <col min="9986" max="9986" width="11.7109375" style="1" bestFit="1" customWidth="1"/>
    <col min="9987" max="9987" width="14.85546875" style="1" bestFit="1" customWidth="1"/>
    <col min="9988" max="9988" width="13.28515625" style="1" bestFit="1" customWidth="1"/>
    <col min="9989" max="9989" width="5.85546875" style="1" customWidth="1"/>
    <col min="9990" max="9990" width="11.42578125" style="1" customWidth="1"/>
    <col min="9991" max="10237" width="0" style="1" hidden="1"/>
    <col min="10238" max="10238" width="6.28515625" style="1" customWidth="1"/>
    <col min="10239" max="10239" width="37.140625" style="1" customWidth="1"/>
    <col min="10240" max="10240" width="8.140625" style="1" bestFit="1" customWidth="1"/>
    <col min="10241" max="10241" width="11.42578125" style="1" customWidth="1"/>
    <col min="10242" max="10242" width="11.7109375" style="1" bestFit="1" customWidth="1"/>
    <col min="10243" max="10243" width="14.85546875" style="1" bestFit="1" customWidth="1"/>
    <col min="10244" max="10244" width="13.28515625" style="1" bestFit="1" customWidth="1"/>
    <col min="10245" max="10245" width="5.85546875" style="1" customWidth="1"/>
    <col min="10246" max="10246" width="11.42578125" style="1" customWidth="1"/>
    <col min="10247" max="10493" width="0" style="1" hidden="1"/>
    <col min="10494" max="10494" width="6.28515625" style="1" customWidth="1"/>
    <col min="10495" max="10495" width="37.140625" style="1" customWidth="1"/>
    <col min="10496" max="10496" width="8.140625" style="1" bestFit="1" customWidth="1"/>
    <col min="10497" max="10497" width="11.42578125" style="1" customWidth="1"/>
    <col min="10498" max="10498" width="11.7109375" style="1" bestFit="1" customWidth="1"/>
    <col min="10499" max="10499" width="14.85546875" style="1" bestFit="1" customWidth="1"/>
    <col min="10500" max="10500" width="13.28515625" style="1" bestFit="1" customWidth="1"/>
    <col min="10501" max="10501" width="5.85546875" style="1" customWidth="1"/>
    <col min="10502" max="10502" width="11.42578125" style="1" customWidth="1"/>
    <col min="10503" max="10749" width="0" style="1" hidden="1"/>
    <col min="10750" max="10750" width="6.28515625" style="1" customWidth="1"/>
    <col min="10751" max="10751" width="37.140625" style="1" customWidth="1"/>
    <col min="10752" max="10752" width="8.140625" style="1" bestFit="1" customWidth="1"/>
    <col min="10753" max="10753" width="11.42578125" style="1" customWidth="1"/>
    <col min="10754" max="10754" width="11.7109375" style="1" bestFit="1" customWidth="1"/>
    <col min="10755" max="10755" width="14.85546875" style="1" bestFit="1" customWidth="1"/>
    <col min="10756" max="10756" width="13.28515625" style="1" bestFit="1" customWidth="1"/>
    <col min="10757" max="10757" width="5.85546875" style="1" customWidth="1"/>
    <col min="10758" max="10758" width="11.42578125" style="1" customWidth="1"/>
    <col min="10759" max="11005" width="0" style="1" hidden="1"/>
    <col min="11006" max="11006" width="6.28515625" style="1" customWidth="1"/>
    <col min="11007" max="11007" width="37.140625" style="1" customWidth="1"/>
    <col min="11008" max="11008" width="8.140625" style="1" bestFit="1" customWidth="1"/>
    <col min="11009" max="11009" width="11.42578125" style="1" customWidth="1"/>
    <col min="11010" max="11010" width="11.7109375" style="1" bestFit="1" customWidth="1"/>
    <col min="11011" max="11011" width="14.85546875" style="1" bestFit="1" customWidth="1"/>
    <col min="11012" max="11012" width="13.28515625" style="1" bestFit="1" customWidth="1"/>
    <col min="11013" max="11013" width="5.85546875" style="1" customWidth="1"/>
    <col min="11014" max="11014" width="11.42578125" style="1" customWidth="1"/>
    <col min="11015" max="11261" width="0" style="1" hidden="1"/>
    <col min="11262" max="11262" width="6.28515625" style="1" customWidth="1"/>
    <col min="11263" max="11263" width="37.140625" style="1" customWidth="1"/>
    <col min="11264" max="11264" width="8.140625" style="1" bestFit="1" customWidth="1"/>
    <col min="11265" max="11265" width="11.42578125" style="1" customWidth="1"/>
    <col min="11266" max="11266" width="11.7109375" style="1" bestFit="1" customWidth="1"/>
    <col min="11267" max="11267" width="14.85546875" style="1" bestFit="1" customWidth="1"/>
    <col min="11268" max="11268" width="13.28515625" style="1" bestFit="1" customWidth="1"/>
    <col min="11269" max="11269" width="5.85546875" style="1" customWidth="1"/>
    <col min="11270" max="11270" width="11.42578125" style="1" customWidth="1"/>
    <col min="11271" max="11517" width="0" style="1" hidden="1"/>
    <col min="11518" max="11518" width="6.28515625" style="1" customWidth="1"/>
    <col min="11519" max="11519" width="37.140625" style="1" customWidth="1"/>
    <col min="11520" max="11520" width="8.140625" style="1" bestFit="1" customWidth="1"/>
    <col min="11521" max="11521" width="11.42578125" style="1" customWidth="1"/>
    <col min="11522" max="11522" width="11.7109375" style="1" bestFit="1" customWidth="1"/>
    <col min="11523" max="11523" width="14.85546875" style="1" bestFit="1" customWidth="1"/>
    <col min="11524" max="11524" width="13.28515625" style="1" bestFit="1" customWidth="1"/>
    <col min="11525" max="11525" width="5.85546875" style="1" customWidth="1"/>
    <col min="11526" max="11526" width="11.42578125" style="1" customWidth="1"/>
    <col min="11527" max="11773" width="0" style="1" hidden="1"/>
    <col min="11774" max="11774" width="6.28515625" style="1" customWidth="1"/>
    <col min="11775" max="11775" width="37.140625" style="1" customWidth="1"/>
    <col min="11776" max="11776" width="8.140625" style="1" bestFit="1" customWidth="1"/>
    <col min="11777" max="11777" width="11.42578125" style="1" customWidth="1"/>
    <col min="11778" max="11778" width="11.7109375" style="1" bestFit="1" customWidth="1"/>
    <col min="11779" max="11779" width="14.85546875" style="1" bestFit="1" customWidth="1"/>
    <col min="11780" max="11780" width="13.28515625" style="1" bestFit="1" customWidth="1"/>
    <col min="11781" max="11781" width="5.85546875" style="1" customWidth="1"/>
    <col min="11782" max="11782" width="11.42578125" style="1" customWidth="1"/>
    <col min="11783" max="12029" width="0" style="1" hidden="1"/>
    <col min="12030" max="12030" width="6.28515625" style="1" customWidth="1"/>
    <col min="12031" max="12031" width="37.140625" style="1" customWidth="1"/>
    <col min="12032" max="12032" width="8.140625" style="1" bestFit="1" customWidth="1"/>
    <col min="12033" max="12033" width="11.42578125" style="1" customWidth="1"/>
    <col min="12034" max="12034" width="11.7109375" style="1" bestFit="1" customWidth="1"/>
    <col min="12035" max="12035" width="14.85546875" style="1" bestFit="1" customWidth="1"/>
    <col min="12036" max="12036" width="13.28515625" style="1" bestFit="1" customWidth="1"/>
    <col min="12037" max="12037" width="5.85546875" style="1" customWidth="1"/>
    <col min="12038" max="12038" width="11.42578125" style="1" customWidth="1"/>
    <col min="12039" max="12285" width="0" style="1" hidden="1"/>
    <col min="12286" max="12286" width="6.28515625" style="1" customWidth="1"/>
    <col min="12287" max="12287" width="37.140625" style="1" customWidth="1"/>
    <col min="12288" max="12288" width="8.140625" style="1" bestFit="1" customWidth="1"/>
    <col min="12289" max="12289" width="11.42578125" style="1" customWidth="1"/>
    <col min="12290" max="12290" width="11.7109375" style="1" bestFit="1" customWidth="1"/>
    <col min="12291" max="12291" width="14.85546875" style="1" bestFit="1" customWidth="1"/>
    <col min="12292" max="12292" width="13.28515625" style="1" bestFit="1" customWidth="1"/>
    <col min="12293" max="12293" width="5.85546875" style="1" customWidth="1"/>
    <col min="12294" max="12294" width="11.42578125" style="1" customWidth="1"/>
    <col min="12295" max="12541" width="0" style="1" hidden="1"/>
    <col min="12542" max="12542" width="6.28515625" style="1" customWidth="1"/>
    <col min="12543" max="12543" width="37.140625" style="1" customWidth="1"/>
    <col min="12544" max="12544" width="8.140625" style="1" bestFit="1" customWidth="1"/>
    <col min="12545" max="12545" width="11.42578125" style="1" customWidth="1"/>
    <col min="12546" max="12546" width="11.7109375" style="1" bestFit="1" customWidth="1"/>
    <col min="12547" max="12547" width="14.85546875" style="1" bestFit="1" customWidth="1"/>
    <col min="12548" max="12548" width="13.28515625" style="1" bestFit="1" customWidth="1"/>
    <col min="12549" max="12549" width="5.85546875" style="1" customWidth="1"/>
    <col min="12550" max="12550" width="11.42578125" style="1" customWidth="1"/>
    <col min="12551" max="12797" width="0" style="1" hidden="1"/>
    <col min="12798" max="12798" width="6.28515625" style="1" customWidth="1"/>
    <col min="12799" max="12799" width="37.140625" style="1" customWidth="1"/>
    <col min="12800" max="12800" width="8.140625" style="1" bestFit="1" customWidth="1"/>
    <col min="12801" max="12801" width="11.42578125" style="1" customWidth="1"/>
    <col min="12802" max="12802" width="11.7109375" style="1" bestFit="1" customWidth="1"/>
    <col min="12803" max="12803" width="14.85546875" style="1" bestFit="1" customWidth="1"/>
    <col min="12804" max="12804" width="13.28515625" style="1" bestFit="1" customWidth="1"/>
    <col min="12805" max="12805" width="5.85546875" style="1" customWidth="1"/>
    <col min="12806" max="12806" width="11.42578125" style="1" customWidth="1"/>
    <col min="12807" max="13053" width="0" style="1" hidden="1"/>
    <col min="13054" max="13054" width="6.28515625" style="1" customWidth="1"/>
    <col min="13055" max="13055" width="37.140625" style="1" customWidth="1"/>
    <col min="13056" max="13056" width="8.140625" style="1" bestFit="1" customWidth="1"/>
    <col min="13057" max="13057" width="11.42578125" style="1" customWidth="1"/>
    <col min="13058" max="13058" width="11.7109375" style="1" bestFit="1" customWidth="1"/>
    <col min="13059" max="13059" width="14.85546875" style="1" bestFit="1" customWidth="1"/>
    <col min="13060" max="13060" width="13.28515625" style="1" bestFit="1" customWidth="1"/>
    <col min="13061" max="13061" width="5.85546875" style="1" customWidth="1"/>
    <col min="13062" max="13062" width="11.42578125" style="1" customWidth="1"/>
    <col min="13063" max="13309" width="0" style="1" hidden="1"/>
    <col min="13310" max="13310" width="6.28515625" style="1" customWidth="1"/>
    <col min="13311" max="13311" width="37.140625" style="1" customWidth="1"/>
    <col min="13312" max="13312" width="8.140625" style="1" bestFit="1" customWidth="1"/>
    <col min="13313" max="13313" width="11.42578125" style="1" customWidth="1"/>
    <col min="13314" max="13314" width="11.7109375" style="1" bestFit="1" customWidth="1"/>
    <col min="13315" max="13315" width="14.85546875" style="1" bestFit="1" customWidth="1"/>
    <col min="13316" max="13316" width="13.28515625" style="1" bestFit="1" customWidth="1"/>
    <col min="13317" max="13317" width="5.85546875" style="1" customWidth="1"/>
    <col min="13318" max="13318" width="11.42578125" style="1" customWidth="1"/>
    <col min="13319" max="13565" width="0" style="1" hidden="1"/>
    <col min="13566" max="13566" width="6.28515625" style="1" customWidth="1"/>
    <col min="13567" max="13567" width="37.140625" style="1" customWidth="1"/>
    <col min="13568" max="13568" width="8.140625" style="1" bestFit="1" customWidth="1"/>
    <col min="13569" max="13569" width="11.42578125" style="1" customWidth="1"/>
    <col min="13570" max="13570" width="11.7109375" style="1" bestFit="1" customWidth="1"/>
    <col min="13571" max="13571" width="14.85546875" style="1" bestFit="1" customWidth="1"/>
    <col min="13572" max="13572" width="13.28515625" style="1" bestFit="1" customWidth="1"/>
    <col min="13573" max="13573" width="5.85546875" style="1" customWidth="1"/>
    <col min="13574" max="13574" width="11.42578125" style="1" customWidth="1"/>
    <col min="13575" max="13821" width="0" style="1" hidden="1"/>
    <col min="13822" max="13822" width="6.28515625" style="1" customWidth="1"/>
    <col min="13823" max="13823" width="37.140625" style="1" customWidth="1"/>
    <col min="13824" max="13824" width="8.140625" style="1" bestFit="1" customWidth="1"/>
    <col min="13825" max="13825" width="11.42578125" style="1" customWidth="1"/>
    <col min="13826" max="13826" width="11.7109375" style="1" bestFit="1" customWidth="1"/>
    <col min="13827" max="13827" width="14.85546875" style="1" bestFit="1" customWidth="1"/>
    <col min="13828" max="13828" width="13.28515625" style="1" bestFit="1" customWidth="1"/>
    <col min="13829" max="13829" width="5.85546875" style="1" customWidth="1"/>
    <col min="13830" max="13830" width="11.42578125" style="1" customWidth="1"/>
    <col min="13831" max="14077" width="0" style="1" hidden="1"/>
    <col min="14078" max="14078" width="6.28515625" style="1" customWidth="1"/>
    <col min="14079" max="14079" width="37.140625" style="1" customWidth="1"/>
    <col min="14080" max="14080" width="8.140625" style="1" bestFit="1" customWidth="1"/>
    <col min="14081" max="14081" width="11.42578125" style="1" customWidth="1"/>
    <col min="14082" max="14082" width="11.7109375" style="1" bestFit="1" customWidth="1"/>
    <col min="14083" max="14083" width="14.85546875" style="1" bestFit="1" customWidth="1"/>
    <col min="14084" max="14084" width="13.28515625" style="1" bestFit="1" customWidth="1"/>
    <col min="14085" max="14085" width="5.85546875" style="1" customWidth="1"/>
    <col min="14086" max="14086" width="11.42578125" style="1" customWidth="1"/>
    <col min="14087" max="14333" width="0" style="1" hidden="1"/>
    <col min="14334" max="14334" width="6.28515625" style="1" customWidth="1"/>
    <col min="14335" max="14335" width="37.140625" style="1" customWidth="1"/>
    <col min="14336" max="14336" width="8.140625" style="1" bestFit="1" customWidth="1"/>
    <col min="14337" max="14337" width="11.42578125" style="1" customWidth="1"/>
    <col min="14338" max="14338" width="11.7109375" style="1" bestFit="1" customWidth="1"/>
    <col min="14339" max="14339" width="14.85546875" style="1" bestFit="1" customWidth="1"/>
    <col min="14340" max="14340" width="13.28515625" style="1" bestFit="1" customWidth="1"/>
    <col min="14341" max="14341" width="5.85546875" style="1" customWidth="1"/>
    <col min="14342" max="14342" width="11.42578125" style="1" customWidth="1"/>
    <col min="14343" max="14589" width="0" style="1" hidden="1"/>
    <col min="14590" max="14590" width="6.28515625" style="1" customWidth="1"/>
    <col min="14591" max="14591" width="37.140625" style="1" customWidth="1"/>
    <col min="14592" max="14592" width="8.140625" style="1" bestFit="1" customWidth="1"/>
    <col min="14593" max="14593" width="11.42578125" style="1" customWidth="1"/>
    <col min="14594" max="14594" width="11.7109375" style="1" bestFit="1" customWidth="1"/>
    <col min="14595" max="14595" width="14.85546875" style="1" bestFit="1" customWidth="1"/>
    <col min="14596" max="14596" width="13.28515625" style="1" bestFit="1" customWidth="1"/>
    <col min="14597" max="14597" width="5.85546875" style="1" customWidth="1"/>
    <col min="14598" max="14598" width="11.42578125" style="1" customWidth="1"/>
    <col min="14599" max="14845" width="0" style="1" hidden="1"/>
    <col min="14846" max="14846" width="6.28515625" style="1" customWidth="1"/>
    <col min="14847" max="14847" width="37.140625" style="1" customWidth="1"/>
    <col min="14848" max="14848" width="8.140625" style="1" bestFit="1" customWidth="1"/>
    <col min="14849" max="14849" width="11.42578125" style="1" customWidth="1"/>
    <col min="14850" max="14850" width="11.7109375" style="1" bestFit="1" customWidth="1"/>
    <col min="14851" max="14851" width="14.85546875" style="1" bestFit="1" customWidth="1"/>
    <col min="14852" max="14852" width="13.28515625" style="1" bestFit="1" customWidth="1"/>
    <col min="14853" max="14853" width="5.85546875" style="1" customWidth="1"/>
    <col min="14854" max="14854" width="11.42578125" style="1" customWidth="1"/>
    <col min="14855" max="15101" width="0" style="1" hidden="1"/>
    <col min="15102" max="15102" width="6.28515625" style="1" customWidth="1"/>
    <col min="15103" max="15103" width="37.140625" style="1" customWidth="1"/>
    <col min="15104" max="15104" width="8.140625" style="1" bestFit="1" customWidth="1"/>
    <col min="15105" max="15105" width="11.42578125" style="1" customWidth="1"/>
    <col min="15106" max="15106" width="11.7109375" style="1" bestFit="1" customWidth="1"/>
    <col min="15107" max="15107" width="14.85546875" style="1" bestFit="1" customWidth="1"/>
    <col min="15108" max="15108" width="13.28515625" style="1" bestFit="1" customWidth="1"/>
    <col min="15109" max="15109" width="5.85546875" style="1" customWidth="1"/>
    <col min="15110" max="15110" width="11.42578125" style="1" customWidth="1"/>
    <col min="15111" max="15357" width="0" style="1" hidden="1"/>
    <col min="15358" max="15358" width="6.28515625" style="1" customWidth="1"/>
    <col min="15359" max="15359" width="37.140625" style="1" customWidth="1"/>
    <col min="15360" max="15360" width="8.140625" style="1" bestFit="1" customWidth="1"/>
    <col min="15361" max="15361" width="11.42578125" style="1" customWidth="1"/>
    <col min="15362" max="15362" width="11.7109375" style="1" bestFit="1" customWidth="1"/>
    <col min="15363" max="15363" width="14.85546875" style="1" bestFit="1" customWidth="1"/>
    <col min="15364" max="15364" width="13.28515625" style="1" bestFit="1" customWidth="1"/>
    <col min="15365" max="15365" width="5.85546875" style="1" customWidth="1"/>
    <col min="15366" max="15366" width="11.42578125" style="1" customWidth="1"/>
    <col min="15367" max="15613" width="0" style="1" hidden="1"/>
    <col min="15614" max="15614" width="6.28515625" style="1" customWidth="1"/>
    <col min="15615" max="15615" width="37.140625" style="1" customWidth="1"/>
    <col min="15616" max="15616" width="8.140625" style="1" bestFit="1" customWidth="1"/>
    <col min="15617" max="15617" width="11.42578125" style="1" customWidth="1"/>
    <col min="15618" max="15618" width="11.7109375" style="1" bestFit="1" customWidth="1"/>
    <col min="15619" max="15619" width="14.85546875" style="1" bestFit="1" customWidth="1"/>
    <col min="15620" max="15620" width="13.28515625" style="1" bestFit="1" customWidth="1"/>
    <col min="15621" max="15621" width="5.85546875" style="1" customWidth="1"/>
    <col min="15622" max="15622" width="11.42578125" style="1" customWidth="1"/>
    <col min="15623" max="15869" width="0" style="1" hidden="1"/>
    <col min="15870" max="15870" width="6.28515625" style="1" customWidth="1"/>
    <col min="15871" max="15871" width="37.140625" style="1" customWidth="1"/>
    <col min="15872" max="15872" width="8.140625" style="1" bestFit="1" customWidth="1"/>
    <col min="15873" max="15873" width="11.42578125" style="1" customWidth="1"/>
    <col min="15874" max="15874" width="11.7109375" style="1" bestFit="1" customWidth="1"/>
    <col min="15875" max="15875" width="14.85546875" style="1" bestFit="1" customWidth="1"/>
    <col min="15876" max="15876" width="13.28515625" style="1" bestFit="1" customWidth="1"/>
    <col min="15877" max="15877" width="5.85546875" style="1" customWidth="1"/>
    <col min="15878" max="15878" width="11.42578125" style="1" customWidth="1"/>
    <col min="15879" max="16384" width="0" style="1" hidden="1"/>
  </cols>
  <sheetData>
    <row r="1" spans="1:12" ht="15.75" x14ac:dyDescent="0.25">
      <c r="B1" s="2"/>
      <c r="C1" s="3"/>
    </row>
    <row r="2" spans="1:12" ht="20.100000000000001" customHeight="1" x14ac:dyDescent="0.25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1:12" ht="20.100000000000001" customHeight="1" x14ac:dyDescent="0.25">
      <c r="A3" s="7"/>
      <c r="B3" s="8" t="s">
        <v>1</v>
      </c>
      <c r="C3" s="9"/>
      <c r="D3" s="9"/>
      <c r="E3" s="9"/>
      <c r="F3" s="9"/>
      <c r="G3" s="9"/>
      <c r="H3" s="9"/>
      <c r="I3" s="9"/>
      <c r="J3" s="9"/>
      <c r="K3" s="10"/>
    </row>
    <row r="4" spans="1:12" ht="20.100000000000001" customHeight="1" x14ac:dyDescent="0.25">
      <c r="A4" s="7"/>
      <c r="B4" s="8" t="s">
        <v>2</v>
      </c>
      <c r="C4" s="9"/>
      <c r="D4" s="9"/>
      <c r="E4" s="9"/>
      <c r="F4" s="9"/>
      <c r="G4" s="9"/>
      <c r="H4" s="9"/>
      <c r="I4" s="9"/>
      <c r="J4" s="9"/>
      <c r="K4" s="10"/>
    </row>
    <row r="5" spans="1:12" ht="15.75" x14ac:dyDescent="0.25">
      <c r="A5" s="7"/>
      <c r="B5" s="11"/>
      <c r="C5" s="12"/>
      <c r="D5" s="13"/>
      <c r="E5" s="13"/>
      <c r="F5" s="13"/>
      <c r="G5" s="13"/>
      <c r="H5" s="13"/>
      <c r="I5" s="13"/>
      <c r="J5" s="13"/>
      <c r="K5" s="14"/>
    </row>
    <row r="6" spans="1:12" ht="22.5" customHeight="1" x14ac:dyDescent="0.2">
      <c r="A6" s="7"/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</row>
    <row r="7" spans="1:12" ht="15" customHeight="1" x14ac:dyDescent="0.2">
      <c r="A7" s="7"/>
      <c r="B7" s="15"/>
      <c r="C7" s="15"/>
      <c r="D7" s="15" t="s">
        <v>13</v>
      </c>
      <c r="E7" s="15" t="s">
        <v>13</v>
      </c>
      <c r="F7" s="15"/>
      <c r="G7" s="15" t="s">
        <v>13</v>
      </c>
      <c r="H7" s="15" t="s">
        <v>13</v>
      </c>
      <c r="I7" s="15"/>
      <c r="J7" s="15"/>
      <c r="K7" s="15"/>
    </row>
    <row r="8" spans="1:12" ht="24.75" customHeight="1" x14ac:dyDescent="0.2">
      <c r="A8" s="7"/>
      <c r="B8" s="15"/>
      <c r="C8" s="15"/>
      <c r="D8" s="15" t="s">
        <v>14</v>
      </c>
      <c r="E8" s="15" t="s">
        <v>14</v>
      </c>
      <c r="F8" s="15"/>
      <c r="G8" s="15" t="s">
        <v>14</v>
      </c>
      <c r="H8" s="15" t="s">
        <v>14</v>
      </c>
      <c r="I8" s="15"/>
      <c r="J8" s="15"/>
      <c r="K8" s="15"/>
    </row>
    <row r="9" spans="1:12" ht="24.75" customHeight="1" x14ac:dyDescent="0.2">
      <c r="A9" s="7"/>
      <c r="B9" s="16" t="s">
        <v>15</v>
      </c>
      <c r="C9" s="17"/>
      <c r="D9" s="17"/>
      <c r="E9" s="17"/>
      <c r="F9" s="17"/>
      <c r="G9" s="17"/>
      <c r="H9" s="17"/>
      <c r="I9" s="17"/>
      <c r="J9" s="17"/>
      <c r="K9" s="18"/>
      <c r="L9" s="19">
        <v>1.0511999999999999</v>
      </c>
    </row>
    <row r="10" spans="1:12" s="25" customFormat="1" ht="20.100000000000001" customHeight="1" x14ac:dyDescent="0.25">
      <c r="A10" s="20"/>
      <c r="B10" s="21" t="s">
        <v>16</v>
      </c>
      <c r="C10" s="22" t="s">
        <v>17</v>
      </c>
      <c r="D10" s="23">
        <f>4739113*$L$9</f>
        <v>4981755.5855999999</v>
      </c>
      <c r="E10" s="23">
        <v>0</v>
      </c>
      <c r="F10" s="23">
        <v>0</v>
      </c>
      <c r="G10" s="23">
        <f>8425090*$L$9</f>
        <v>8856454.6079999991</v>
      </c>
      <c r="H10" s="23">
        <v>0</v>
      </c>
      <c r="I10" s="23">
        <v>25706421.13383333</v>
      </c>
      <c r="J10" s="23">
        <v>0</v>
      </c>
      <c r="K10" s="23">
        <v>0</v>
      </c>
      <c r="L10" s="24"/>
    </row>
    <row r="11" spans="1:12" s="25" customFormat="1" ht="20.100000000000001" customHeight="1" x14ac:dyDescent="0.25">
      <c r="A11" s="20"/>
      <c r="B11" s="21" t="s">
        <v>18</v>
      </c>
      <c r="C11" s="22" t="s">
        <v>19</v>
      </c>
      <c r="D11" s="23">
        <f t="shared" ref="D11:D12" si="0">4739113*$L$9</f>
        <v>4981755.5855999999</v>
      </c>
      <c r="E11" s="23">
        <v>0</v>
      </c>
      <c r="F11" s="23">
        <v>0</v>
      </c>
      <c r="G11" s="23">
        <f t="shared" ref="G11" si="1">8425090*$L$9</f>
        <v>8856454.6079999991</v>
      </c>
      <c r="H11" s="23">
        <v>0</v>
      </c>
      <c r="I11" s="23">
        <v>25706421.13383333</v>
      </c>
      <c r="J11" s="23">
        <v>0</v>
      </c>
      <c r="K11" s="23">
        <v>0</v>
      </c>
      <c r="L11" s="24"/>
    </row>
    <row r="12" spans="1:12" s="25" customFormat="1" ht="20.100000000000001" customHeight="1" x14ac:dyDescent="0.25">
      <c r="A12" s="20"/>
      <c r="B12" s="21" t="s">
        <v>20</v>
      </c>
      <c r="C12" s="22" t="s">
        <v>21</v>
      </c>
      <c r="D12" s="23">
        <f t="shared" si="0"/>
        <v>4981755.5855999999</v>
      </c>
      <c r="E12" s="23">
        <v>0</v>
      </c>
      <c r="F12" s="23">
        <v>0</v>
      </c>
      <c r="G12" s="23">
        <f>8425090*$L$9</f>
        <v>8856454.6079999991</v>
      </c>
      <c r="H12" s="23">
        <v>0</v>
      </c>
      <c r="I12" s="23">
        <v>25706421.13383333</v>
      </c>
      <c r="J12" s="23">
        <v>0</v>
      </c>
      <c r="K12" s="23">
        <v>0</v>
      </c>
      <c r="L12" s="24"/>
    </row>
    <row r="13" spans="1:12" s="25" customFormat="1" ht="20.100000000000001" customHeight="1" x14ac:dyDescent="0.25">
      <c r="A13" s="20"/>
      <c r="B13" s="21" t="s">
        <v>22</v>
      </c>
      <c r="C13" s="22" t="s">
        <v>23</v>
      </c>
      <c r="D13" s="23">
        <f>6609459*$L$9</f>
        <v>6947863.3007999994</v>
      </c>
      <c r="E13" s="23">
        <v>0</v>
      </c>
      <c r="F13" s="23">
        <v>0</v>
      </c>
      <c r="G13" s="23">
        <f>6609452*$L$9</f>
        <v>6947855.9423999991</v>
      </c>
      <c r="H13" s="23">
        <f>5803104*$L$9</f>
        <v>6100222.9247999992</v>
      </c>
      <c r="I13" s="23">
        <f>3542670*$L$9</f>
        <v>3724054.7039999999</v>
      </c>
      <c r="J13" s="23">
        <v>0</v>
      </c>
      <c r="K13" s="23">
        <v>0</v>
      </c>
      <c r="L13" s="24"/>
    </row>
    <row r="14" spans="1:12" s="25" customFormat="1" ht="20.100000000000001" customHeight="1" x14ac:dyDescent="0.25">
      <c r="A14" s="20"/>
      <c r="B14" s="21" t="s">
        <v>24</v>
      </c>
      <c r="C14" s="22" t="s">
        <v>25</v>
      </c>
      <c r="D14" s="23">
        <f t="shared" ref="D14:D16" si="2">6609459*$L$9</f>
        <v>6947863.3007999994</v>
      </c>
      <c r="E14" s="23">
        <v>0</v>
      </c>
      <c r="F14" s="23">
        <v>0</v>
      </c>
      <c r="G14" s="23">
        <f t="shared" ref="G14:G15" si="3">6609452*$L$9</f>
        <v>6947855.9423999991</v>
      </c>
      <c r="H14" s="23">
        <f t="shared" ref="H14:H15" si="4">5803104*$L$9</f>
        <v>6100222.9247999992</v>
      </c>
      <c r="I14" s="23">
        <f>3542670*$L$9</f>
        <v>3724054.7039999999</v>
      </c>
      <c r="J14" s="23">
        <v>0</v>
      </c>
      <c r="K14" s="23">
        <v>0</v>
      </c>
      <c r="L14" s="24"/>
    </row>
    <row r="15" spans="1:12" s="25" customFormat="1" ht="20.100000000000001" customHeight="1" x14ac:dyDescent="0.25">
      <c r="A15" s="20"/>
      <c r="B15" s="21" t="s">
        <v>26</v>
      </c>
      <c r="C15" s="22" t="s">
        <v>27</v>
      </c>
      <c r="D15" s="23">
        <f t="shared" si="2"/>
        <v>6947863.3007999994</v>
      </c>
      <c r="E15" s="23">
        <v>0</v>
      </c>
      <c r="F15" s="23">
        <v>0</v>
      </c>
      <c r="G15" s="23">
        <f t="shared" si="3"/>
        <v>6947855.9423999991</v>
      </c>
      <c r="H15" s="23">
        <f t="shared" si="4"/>
        <v>6100222.9247999992</v>
      </c>
      <c r="I15" s="23">
        <f>3542670*$L$9</f>
        <v>3724054.7039999999</v>
      </c>
      <c r="J15" s="23">
        <v>0</v>
      </c>
      <c r="K15" s="23">
        <v>0</v>
      </c>
      <c r="L15" s="24"/>
    </row>
    <row r="16" spans="1:12" s="25" customFormat="1" ht="20.100000000000001" customHeight="1" x14ac:dyDescent="0.25">
      <c r="A16" s="20"/>
      <c r="B16" s="21" t="s">
        <v>28</v>
      </c>
      <c r="C16" s="22" t="s">
        <v>29</v>
      </c>
      <c r="D16" s="23">
        <f t="shared" si="2"/>
        <v>6947863.3007999994</v>
      </c>
      <c r="E16" s="23">
        <v>0</v>
      </c>
      <c r="F16" s="23">
        <v>0</v>
      </c>
      <c r="G16" s="23">
        <f>6609452*$L$9</f>
        <v>6947855.9423999991</v>
      </c>
      <c r="H16" s="23">
        <f>5803104*$L$9</f>
        <v>6100222.9247999992</v>
      </c>
      <c r="I16" s="23">
        <f>3542670*$L$9</f>
        <v>3724054.7039999999</v>
      </c>
      <c r="J16" s="23">
        <v>0</v>
      </c>
      <c r="K16" s="23">
        <v>0</v>
      </c>
      <c r="L16" s="24"/>
    </row>
    <row r="17" spans="1:12" s="25" customFormat="1" ht="20.100000000000001" customHeight="1" x14ac:dyDescent="0.25">
      <c r="A17" s="20"/>
      <c r="B17" s="21" t="s">
        <v>30</v>
      </c>
      <c r="C17" s="22" t="s">
        <v>31</v>
      </c>
      <c r="D17" s="23">
        <f>6454668*L9</f>
        <v>6785147.0015999991</v>
      </c>
      <c r="E17" s="23">
        <v>0</v>
      </c>
      <c r="F17" s="23">
        <v>0</v>
      </c>
      <c r="G17" s="23">
        <f>5038690*$L$9</f>
        <v>5296670.9279999994</v>
      </c>
      <c r="H17" s="23">
        <v>0</v>
      </c>
      <c r="I17" s="23">
        <f>1575556*$L$9</f>
        <v>1656224.4671999998</v>
      </c>
      <c r="J17" s="23">
        <v>0</v>
      </c>
      <c r="K17" s="23">
        <v>0</v>
      </c>
      <c r="L17" s="24"/>
    </row>
    <row r="18" spans="1:12" s="25" customFormat="1" ht="20.100000000000001" customHeight="1" x14ac:dyDescent="0.25">
      <c r="A18" s="20"/>
      <c r="B18" s="21" t="s">
        <v>32</v>
      </c>
      <c r="C18" s="22" t="s">
        <v>33</v>
      </c>
      <c r="D18" s="23">
        <f>5039412*L9</f>
        <v>5297429.8943999996</v>
      </c>
      <c r="E18" s="23">
        <v>0</v>
      </c>
      <c r="F18" s="23">
        <v>0</v>
      </c>
      <c r="G18" s="23">
        <f>5039408*$L$9</f>
        <v>5297425.6895999992</v>
      </c>
      <c r="H18" s="23">
        <v>0</v>
      </c>
      <c r="I18" s="23">
        <f>2766052*$L$9</f>
        <v>2907673.8624</v>
      </c>
      <c r="J18" s="23">
        <v>0</v>
      </c>
      <c r="K18" s="23">
        <v>0</v>
      </c>
      <c r="L18" s="24"/>
    </row>
    <row r="19" spans="1:12" s="25" customFormat="1" ht="20.100000000000001" customHeight="1" x14ac:dyDescent="0.25">
      <c r="A19" s="20"/>
      <c r="B19" s="21" t="s">
        <v>34</v>
      </c>
      <c r="C19" s="22" t="s">
        <v>35</v>
      </c>
      <c r="D19" s="23">
        <f>4377015*L9</f>
        <v>4601118.1679999996</v>
      </c>
      <c r="E19" s="23">
        <v>0</v>
      </c>
      <c r="F19" s="23">
        <v>0</v>
      </c>
      <c r="G19" s="23">
        <f>4377011*$L$9</f>
        <v>4601113.9631999992</v>
      </c>
      <c r="H19" s="23">
        <v>0</v>
      </c>
      <c r="I19" s="23">
        <v>0</v>
      </c>
      <c r="J19" s="23">
        <v>0</v>
      </c>
      <c r="K19" s="23">
        <v>0</v>
      </c>
      <c r="L19" s="24"/>
    </row>
    <row r="20" spans="1:12" s="25" customFormat="1" ht="20.100000000000001" customHeight="1" x14ac:dyDescent="0.25">
      <c r="A20" s="20"/>
      <c r="B20" s="16" t="s">
        <v>36</v>
      </c>
      <c r="C20" s="17"/>
      <c r="D20" s="26"/>
      <c r="E20" s="26"/>
      <c r="F20" s="26"/>
      <c r="G20" s="26"/>
      <c r="H20" s="26"/>
      <c r="I20" s="26"/>
      <c r="J20" s="26"/>
      <c r="K20" s="27"/>
      <c r="L20" s="24"/>
    </row>
    <row r="21" spans="1:12" s="25" customFormat="1" ht="20.100000000000001" customHeight="1" x14ac:dyDescent="0.25">
      <c r="A21" s="20"/>
      <c r="B21" s="21" t="s">
        <v>37</v>
      </c>
      <c r="C21" s="22" t="s">
        <v>38</v>
      </c>
      <c r="D21" s="23">
        <f>12848366*$L$9</f>
        <v>13506202.339199999</v>
      </c>
      <c r="E21" s="23">
        <v>0</v>
      </c>
      <c r="F21" s="23">
        <v>0</v>
      </c>
      <c r="G21" s="23">
        <v>0</v>
      </c>
      <c r="H21" s="23">
        <f>3854510*$L$9</f>
        <v>4051860.9119999995</v>
      </c>
      <c r="I21" s="23">
        <v>0</v>
      </c>
      <c r="J21" s="23">
        <v>0</v>
      </c>
      <c r="K21" s="23">
        <v>0</v>
      </c>
      <c r="L21" s="24"/>
    </row>
    <row r="22" spans="1:12" s="25" customFormat="1" ht="20.100000000000001" customHeight="1" x14ac:dyDescent="0.25">
      <c r="A22" s="20"/>
      <c r="B22" s="21" t="s">
        <v>39</v>
      </c>
      <c r="C22" s="22" t="s">
        <v>40</v>
      </c>
      <c r="D22" s="23">
        <f>12848366*$L$9</f>
        <v>13506202.339199999</v>
      </c>
      <c r="E22" s="23">
        <v>0</v>
      </c>
      <c r="F22" s="23">
        <v>0</v>
      </c>
      <c r="G22" s="23">
        <v>0</v>
      </c>
      <c r="H22" s="23">
        <f>3854510*$L$9</f>
        <v>4051860.9119999995</v>
      </c>
      <c r="I22" s="23">
        <v>0</v>
      </c>
      <c r="J22" s="23">
        <v>0</v>
      </c>
      <c r="K22" s="23">
        <v>0</v>
      </c>
      <c r="L22" s="24"/>
    </row>
    <row r="23" spans="1:12" s="25" customFormat="1" ht="20.100000000000001" customHeight="1" x14ac:dyDescent="0.25">
      <c r="A23" s="20"/>
      <c r="B23" s="21" t="s">
        <v>41</v>
      </c>
      <c r="C23" s="22" t="s">
        <v>42</v>
      </c>
      <c r="D23" s="23">
        <f>11551392*$L$9</f>
        <v>12142823.270399999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/>
    </row>
    <row r="24" spans="1:12" s="25" customFormat="1" ht="20.100000000000001" customHeight="1" x14ac:dyDescent="0.25">
      <c r="A24" s="20"/>
      <c r="B24" s="21" t="s">
        <v>41</v>
      </c>
      <c r="C24" s="22" t="s">
        <v>43</v>
      </c>
      <c r="D24" s="23">
        <f>10083007*$L$9</f>
        <v>10599256.9584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4"/>
    </row>
    <row r="25" spans="1:12" s="25" customFormat="1" ht="20.100000000000001" customHeight="1" x14ac:dyDescent="0.25">
      <c r="A25" s="20"/>
      <c r="B25" s="21" t="s">
        <v>41</v>
      </c>
      <c r="C25" s="22" t="s">
        <v>44</v>
      </c>
      <c r="D25" s="23">
        <f>8310520*$L$9</f>
        <v>8736018.6239999998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4"/>
    </row>
    <row r="26" spans="1:12" s="25" customFormat="1" ht="20.100000000000001" customHeight="1" x14ac:dyDescent="0.25">
      <c r="A26" s="20"/>
      <c r="B26" s="28" t="s">
        <v>45</v>
      </c>
      <c r="C26" s="29" t="s">
        <v>44</v>
      </c>
      <c r="D26" s="30">
        <f>4452787*$L$9</f>
        <v>4680769.6943999995</v>
      </c>
      <c r="E26" s="30">
        <f>6676607*$L$9+1</f>
        <v>7018450.2783999993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4"/>
    </row>
    <row r="27" spans="1:12" s="25" customFormat="1" ht="20.100000000000001" customHeight="1" x14ac:dyDescent="0.25">
      <c r="A27" s="20"/>
      <c r="B27" s="28" t="s">
        <v>41</v>
      </c>
      <c r="C27" s="29" t="s">
        <v>46</v>
      </c>
      <c r="D27" s="30">
        <f>7723004*$L$9</f>
        <v>8118421.8047999991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4"/>
    </row>
    <row r="28" spans="1:12" s="25" customFormat="1" ht="20.100000000000001" customHeight="1" x14ac:dyDescent="0.25">
      <c r="A28" s="20"/>
      <c r="B28" s="28" t="s">
        <v>45</v>
      </c>
      <c r="C28" s="29" t="s">
        <v>46</v>
      </c>
      <c r="D28" s="30">
        <f>4113117*$L$9</f>
        <v>4323708.5904000001</v>
      </c>
      <c r="E28" s="30">
        <f>6167298*$L$9</f>
        <v>6483063.6575999996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4"/>
    </row>
    <row r="29" spans="1:12" s="25" customFormat="1" ht="20.100000000000001" customHeight="1" x14ac:dyDescent="0.25">
      <c r="A29" s="20"/>
      <c r="B29" s="28" t="s">
        <v>41</v>
      </c>
      <c r="C29" s="29" t="s">
        <v>47</v>
      </c>
      <c r="D29" s="30">
        <f>6612565*$L$9</f>
        <v>6951128.3279999997</v>
      </c>
      <c r="E29" s="23">
        <v>0</v>
      </c>
      <c r="F29" s="23">
        <f>D29*5.15%</f>
        <v>357983.10889199999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4"/>
    </row>
    <row r="30" spans="1:12" s="25" customFormat="1" ht="20.100000000000001" customHeight="1" x14ac:dyDescent="0.25">
      <c r="A30" s="20"/>
      <c r="B30" s="28" t="s">
        <v>45</v>
      </c>
      <c r="C30" s="29" t="s">
        <v>47</v>
      </c>
      <c r="D30" s="30">
        <f>3564758*$L$9</f>
        <v>3747273.6095999996</v>
      </c>
      <c r="E30" s="30">
        <f>5345077*$L$9</f>
        <v>5618744.9423999991</v>
      </c>
      <c r="F30" s="23">
        <f>D30*5.15%</f>
        <v>192984.5908944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4"/>
    </row>
    <row r="31" spans="1:12" s="25" customFormat="1" ht="20.100000000000001" customHeight="1" x14ac:dyDescent="0.25">
      <c r="A31" s="20"/>
      <c r="B31" s="16" t="s">
        <v>48</v>
      </c>
      <c r="C31" s="17"/>
      <c r="D31" s="26"/>
      <c r="E31" s="26"/>
      <c r="F31" s="26"/>
      <c r="G31" s="26"/>
      <c r="H31" s="26"/>
      <c r="I31" s="26"/>
      <c r="J31" s="26"/>
      <c r="K31" s="27"/>
      <c r="L31" s="24"/>
    </row>
    <row r="32" spans="1:12" s="25" customFormat="1" ht="20.100000000000001" customHeight="1" x14ac:dyDescent="0.25">
      <c r="A32" s="20"/>
      <c r="B32" s="21" t="s">
        <v>49</v>
      </c>
      <c r="C32" s="22" t="s">
        <v>50</v>
      </c>
      <c r="D32" s="23">
        <f>11487355*$L$9</f>
        <v>12075507.575999999</v>
      </c>
      <c r="E32" s="23">
        <v>0</v>
      </c>
      <c r="F32" s="23">
        <v>0</v>
      </c>
      <c r="G32" s="23">
        <v>0</v>
      </c>
      <c r="H32" s="23">
        <f>3446207*$L$9</f>
        <v>3622652.7983999997</v>
      </c>
      <c r="I32" s="23">
        <v>0</v>
      </c>
      <c r="J32" s="23">
        <v>0</v>
      </c>
      <c r="K32" s="23">
        <v>0</v>
      </c>
      <c r="L32" s="24"/>
    </row>
    <row r="33" spans="1:12" s="25" customFormat="1" ht="20.100000000000001" customHeight="1" x14ac:dyDescent="0.25">
      <c r="A33" s="20"/>
      <c r="B33" s="21" t="s">
        <v>51</v>
      </c>
      <c r="C33" s="22" t="s">
        <v>52</v>
      </c>
      <c r="D33" s="23">
        <f>7723004*$L$9</f>
        <v>8118421.8047999991</v>
      </c>
      <c r="E33" s="23">
        <v>0</v>
      </c>
      <c r="F33" s="23">
        <f>D33*5.15%</f>
        <v>418098.7229472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4"/>
    </row>
    <row r="34" spans="1:12" s="25" customFormat="1" ht="20.100000000000001" customHeight="1" x14ac:dyDescent="0.25">
      <c r="A34" s="20"/>
      <c r="B34" s="16" t="s">
        <v>53</v>
      </c>
      <c r="C34" s="17"/>
      <c r="D34" s="26"/>
      <c r="E34" s="26"/>
      <c r="F34" s="26"/>
      <c r="G34" s="26"/>
      <c r="H34" s="26"/>
      <c r="I34" s="26"/>
      <c r="J34" s="26"/>
      <c r="K34" s="27"/>
      <c r="L34" s="24"/>
    </row>
    <row r="35" spans="1:12" s="25" customFormat="1" ht="20.100000000000001" customHeight="1" x14ac:dyDescent="0.25">
      <c r="A35" s="20"/>
      <c r="B35" s="21" t="s">
        <v>54</v>
      </c>
      <c r="C35" s="22" t="s">
        <v>55</v>
      </c>
      <c r="D35" s="23">
        <f>4473961*$L$9</f>
        <v>4703027.8032</v>
      </c>
      <c r="E35" s="23">
        <v>0</v>
      </c>
      <c r="F35" s="23"/>
      <c r="G35" s="23">
        <f>4473956*$L$9</f>
        <v>4703022.5471999999</v>
      </c>
      <c r="H35" s="23">
        <v>0</v>
      </c>
      <c r="I35" s="23">
        <f>2454735*$L$9</f>
        <v>2580417.4319999996</v>
      </c>
      <c r="J35" s="23">
        <v>0</v>
      </c>
      <c r="K35" s="23">
        <v>18608354.249612793</v>
      </c>
      <c r="L35" s="24"/>
    </row>
    <row r="36" spans="1:12" s="25" customFormat="1" ht="20.100000000000001" customHeight="1" x14ac:dyDescent="0.25">
      <c r="A36" s="20"/>
      <c r="B36" s="21" t="s">
        <v>56</v>
      </c>
      <c r="C36" s="22" t="s">
        <v>57</v>
      </c>
      <c r="D36" s="23">
        <f>3565452*$L$9</f>
        <v>3748003.1423999998</v>
      </c>
      <c r="E36" s="23">
        <v>0</v>
      </c>
      <c r="F36" s="23"/>
      <c r="G36" s="23">
        <f>1980806*$L$9</f>
        <v>2082223.2671999999</v>
      </c>
      <c r="H36" s="23">
        <v>0</v>
      </c>
      <c r="I36" s="23">
        <f>2376968*$L$9</f>
        <v>2498668.7615999999</v>
      </c>
      <c r="J36" s="23">
        <v>3472043</v>
      </c>
      <c r="K36" s="23">
        <v>0</v>
      </c>
      <c r="L36" s="24"/>
    </row>
    <row r="37" spans="1:12" s="25" customFormat="1" ht="20.100000000000001" customHeight="1" x14ac:dyDescent="0.25">
      <c r="A37" s="20"/>
      <c r="B37" s="21" t="s">
        <v>58</v>
      </c>
      <c r="C37" s="22" t="s">
        <v>59</v>
      </c>
      <c r="D37" s="23">
        <f>6131629*$L$9</f>
        <v>6445568.4047999997</v>
      </c>
      <c r="E37" s="23">
        <v>0</v>
      </c>
      <c r="F37" s="23">
        <f t="shared" ref="F37:F43" si="5">D37*5.15%</f>
        <v>331946.77284719999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4"/>
    </row>
    <row r="38" spans="1:12" s="25" customFormat="1" ht="20.100000000000001" customHeight="1" x14ac:dyDescent="0.25">
      <c r="A38" s="20"/>
      <c r="B38" s="28" t="s">
        <v>60</v>
      </c>
      <c r="C38" s="29" t="s">
        <v>59</v>
      </c>
      <c r="D38" s="30">
        <f>3334722*$L$9</f>
        <v>3505459.7663999996</v>
      </c>
      <c r="E38" s="30">
        <f>5000156*$L$9</f>
        <v>5256163.9871999994</v>
      </c>
      <c r="F38" s="23">
        <f t="shared" si="5"/>
        <v>180531.17796959999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4"/>
    </row>
    <row r="39" spans="1:12" s="25" customFormat="1" ht="20.100000000000001" customHeight="1" x14ac:dyDescent="0.25">
      <c r="A39" s="20"/>
      <c r="B39" s="28" t="s">
        <v>58</v>
      </c>
      <c r="C39" s="29" t="s">
        <v>61</v>
      </c>
      <c r="D39" s="30">
        <f>5702883*$L$9</f>
        <v>5994870.6095999992</v>
      </c>
      <c r="E39" s="23">
        <v>0</v>
      </c>
      <c r="F39" s="23">
        <f t="shared" si="5"/>
        <v>308735.83639439999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4"/>
    </row>
    <row r="40" spans="1:12" s="25" customFormat="1" ht="20.100000000000001" customHeight="1" x14ac:dyDescent="0.25">
      <c r="A40" s="20"/>
      <c r="B40" s="28" t="s">
        <v>60</v>
      </c>
      <c r="C40" s="29" t="s">
        <v>61</v>
      </c>
      <c r="D40" s="30">
        <f>3218892*$L$9</f>
        <v>3383699.2703999998</v>
      </c>
      <c r="E40" s="30">
        <f>4826477*$L$9</f>
        <v>5073592.6223999998</v>
      </c>
      <c r="F40" s="23">
        <f t="shared" si="5"/>
        <v>174260.5124256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4"/>
    </row>
    <row r="41" spans="1:12" s="25" customFormat="1" ht="20.100000000000001" customHeight="1" x14ac:dyDescent="0.25">
      <c r="A41" s="20"/>
      <c r="B41" s="28" t="s">
        <v>58</v>
      </c>
      <c r="C41" s="29" t="s">
        <v>62</v>
      </c>
      <c r="D41" s="30">
        <f>4379260*$L$9</f>
        <v>4603478.1119999997</v>
      </c>
      <c r="E41" s="23">
        <v>0</v>
      </c>
      <c r="F41" s="23">
        <f t="shared" si="5"/>
        <v>237079.122768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4"/>
    </row>
    <row r="42" spans="1:12" s="25" customFormat="1" ht="20.100000000000001" customHeight="1" x14ac:dyDescent="0.25">
      <c r="A42" s="20"/>
      <c r="B42" s="28" t="s">
        <v>60</v>
      </c>
      <c r="C42" s="29" t="s">
        <v>62</v>
      </c>
      <c r="D42" s="30">
        <f>2523366*$L$9</f>
        <v>2652562.3391999998</v>
      </c>
      <c r="E42" s="30">
        <f>3783590*$L$9</f>
        <v>3977309.8079999997</v>
      </c>
      <c r="F42" s="23">
        <f t="shared" si="5"/>
        <v>136606.96046880001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4"/>
    </row>
    <row r="43" spans="1:12" s="25" customFormat="1" ht="20.100000000000001" customHeight="1" x14ac:dyDescent="0.25">
      <c r="A43" s="20"/>
      <c r="B43" s="21" t="s">
        <v>63</v>
      </c>
      <c r="C43" s="22" t="s">
        <v>64</v>
      </c>
      <c r="D43" s="23">
        <f>5702883*$L$9</f>
        <v>5994870.6095999992</v>
      </c>
      <c r="E43" s="23">
        <v>0</v>
      </c>
      <c r="F43" s="23">
        <f t="shared" si="5"/>
        <v>308735.83639439999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4"/>
    </row>
    <row r="44" spans="1:12" s="25" customFormat="1" ht="20.100000000000001" customHeight="1" x14ac:dyDescent="0.25">
      <c r="A44" s="20"/>
      <c r="B44" s="16" t="s">
        <v>65</v>
      </c>
      <c r="C44" s="17"/>
      <c r="D44" s="26"/>
      <c r="E44" s="26"/>
      <c r="F44" s="26"/>
      <c r="G44" s="26"/>
      <c r="H44" s="26"/>
      <c r="I44" s="26"/>
      <c r="J44" s="26"/>
      <c r="K44" s="27"/>
      <c r="L44" s="24"/>
    </row>
    <row r="45" spans="1:12" s="25" customFormat="1" ht="20.100000000000001" customHeight="1" x14ac:dyDescent="0.25">
      <c r="A45" s="20"/>
      <c r="B45" s="21" t="s">
        <v>66</v>
      </c>
      <c r="C45" s="22" t="s">
        <v>67</v>
      </c>
      <c r="D45" s="23">
        <f>6612565*$L$9</f>
        <v>6951128.3279999997</v>
      </c>
      <c r="E45" s="23">
        <v>0</v>
      </c>
      <c r="F45" s="23">
        <f t="shared" ref="F45:F75" si="6">D45*5.15%</f>
        <v>357983.10889199999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4"/>
    </row>
    <row r="46" spans="1:12" s="25" customFormat="1" ht="20.100000000000001" customHeight="1" x14ac:dyDescent="0.25">
      <c r="A46" s="20"/>
      <c r="B46" s="21" t="s">
        <v>66</v>
      </c>
      <c r="C46" s="22" t="s">
        <v>68</v>
      </c>
      <c r="D46" s="23">
        <f>5702883*$L$9</f>
        <v>5994870.6095999992</v>
      </c>
      <c r="E46" s="23">
        <v>0</v>
      </c>
      <c r="F46" s="23">
        <f t="shared" si="6"/>
        <v>308735.83639439999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4"/>
    </row>
    <row r="47" spans="1:12" s="25" customFormat="1" ht="20.100000000000001" customHeight="1" x14ac:dyDescent="0.25">
      <c r="A47" s="20"/>
      <c r="B47" s="21" t="s">
        <v>66</v>
      </c>
      <c r="C47" s="22" t="s">
        <v>69</v>
      </c>
      <c r="D47" s="23">
        <f>4379260*$L$9</f>
        <v>4603478.1119999997</v>
      </c>
      <c r="E47" s="23">
        <v>0</v>
      </c>
      <c r="F47" s="23">
        <f t="shared" si="6"/>
        <v>237079.122768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4"/>
    </row>
    <row r="48" spans="1:12" s="25" customFormat="1" ht="20.100000000000001" customHeight="1" x14ac:dyDescent="0.25">
      <c r="A48" s="20"/>
      <c r="B48" s="21" t="s">
        <v>66</v>
      </c>
      <c r="C48" s="22" t="s">
        <v>70</v>
      </c>
      <c r="D48" s="23">
        <f>3448012*$L$9</f>
        <v>3624550.2143999995</v>
      </c>
      <c r="E48" s="23">
        <v>0</v>
      </c>
      <c r="F48" s="23">
        <f t="shared" si="6"/>
        <v>186664.33604159998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4"/>
    </row>
    <row r="49" spans="1:12" s="25" customFormat="1" ht="20.100000000000001" customHeight="1" x14ac:dyDescent="0.25">
      <c r="A49" s="20"/>
      <c r="B49" s="21" t="s">
        <v>71</v>
      </c>
      <c r="C49" s="22" t="s">
        <v>72</v>
      </c>
      <c r="D49" s="23">
        <f>6612565*$L$9</f>
        <v>6951128.3279999997</v>
      </c>
      <c r="E49" s="23">
        <v>0</v>
      </c>
      <c r="F49" s="23">
        <f t="shared" si="6"/>
        <v>357983.10889199999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4"/>
    </row>
    <row r="50" spans="1:12" s="25" customFormat="1" ht="20.100000000000001" customHeight="1" x14ac:dyDescent="0.25">
      <c r="A50" s="20"/>
      <c r="B50" s="21" t="s">
        <v>71</v>
      </c>
      <c r="C50" s="22" t="s">
        <v>73</v>
      </c>
      <c r="D50" s="23">
        <f>5702883*$L$9</f>
        <v>5994870.6095999992</v>
      </c>
      <c r="E50" s="23">
        <v>0</v>
      </c>
      <c r="F50" s="23">
        <f t="shared" si="6"/>
        <v>308735.83639439999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4"/>
    </row>
    <row r="51" spans="1:12" s="25" customFormat="1" ht="20.100000000000001" customHeight="1" x14ac:dyDescent="0.25">
      <c r="A51" s="20"/>
      <c r="B51" s="21" t="s">
        <v>71</v>
      </c>
      <c r="C51" s="22" t="s">
        <v>74</v>
      </c>
      <c r="D51" s="23">
        <f>4379260*$L$9</f>
        <v>4603478.1119999997</v>
      </c>
      <c r="E51" s="23">
        <v>0</v>
      </c>
      <c r="F51" s="23">
        <f t="shared" si="6"/>
        <v>237079.122768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4"/>
    </row>
    <row r="52" spans="1:12" s="25" customFormat="1" ht="20.100000000000001" customHeight="1" x14ac:dyDescent="0.25">
      <c r="A52" s="20"/>
      <c r="B52" s="21" t="s">
        <v>75</v>
      </c>
      <c r="C52" s="22" t="s">
        <v>76</v>
      </c>
      <c r="D52" s="23">
        <f>4026495*$L$9</f>
        <v>4232651.5439999998</v>
      </c>
      <c r="E52" s="23">
        <v>0</v>
      </c>
      <c r="F52" s="23">
        <f t="shared" si="6"/>
        <v>217981.554516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4"/>
    </row>
    <row r="53" spans="1:12" s="25" customFormat="1" ht="20.100000000000001" customHeight="1" x14ac:dyDescent="0.25">
      <c r="A53" s="20"/>
      <c r="B53" s="28" t="s">
        <v>77</v>
      </c>
      <c r="C53" s="29" t="s">
        <v>76</v>
      </c>
      <c r="D53" s="30">
        <f>2101872*$L$9</f>
        <v>2209487.8463999997</v>
      </c>
      <c r="E53" s="30">
        <f>3151593*$L$9</f>
        <v>3312954.5615999997</v>
      </c>
      <c r="F53" s="23">
        <f t="shared" si="6"/>
        <v>113788.62408959999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4"/>
    </row>
    <row r="54" spans="1:12" s="25" customFormat="1" ht="20.100000000000001" customHeight="1" x14ac:dyDescent="0.25">
      <c r="A54" s="20"/>
      <c r="B54" s="28" t="s">
        <v>75</v>
      </c>
      <c r="C54" s="29" t="s">
        <v>78</v>
      </c>
      <c r="D54" s="30">
        <f>3715832*$L$9</f>
        <v>3906082.5983999996</v>
      </c>
      <c r="E54" s="23">
        <v>0</v>
      </c>
      <c r="F54" s="23">
        <f t="shared" si="6"/>
        <v>201163.25381759999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4"/>
    </row>
    <row r="55" spans="1:12" s="25" customFormat="1" ht="20.100000000000001" customHeight="1" x14ac:dyDescent="0.25">
      <c r="A55" s="20"/>
      <c r="B55" s="28" t="s">
        <v>77</v>
      </c>
      <c r="C55" s="29" t="s">
        <v>78</v>
      </c>
      <c r="D55" s="30">
        <f>2067779*$L$9</f>
        <v>2173649.2848</v>
      </c>
      <c r="E55" s="30">
        <f>3100473*$L$9</f>
        <v>3259217.2175999996</v>
      </c>
      <c r="F55" s="23">
        <f t="shared" si="6"/>
        <v>111942.93816720002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4"/>
    </row>
    <row r="56" spans="1:12" s="25" customFormat="1" ht="20.100000000000001" customHeight="1" x14ac:dyDescent="0.25">
      <c r="A56" s="20"/>
      <c r="B56" s="28" t="s">
        <v>75</v>
      </c>
      <c r="C56" s="29" t="s">
        <v>79</v>
      </c>
      <c r="D56" s="30">
        <f>3448012*$L$9</f>
        <v>3624550.2143999995</v>
      </c>
      <c r="E56" s="23">
        <v>0</v>
      </c>
      <c r="F56" s="23">
        <f t="shared" si="6"/>
        <v>186664.33604159998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4"/>
    </row>
    <row r="57" spans="1:12" s="25" customFormat="1" ht="20.100000000000001" customHeight="1" x14ac:dyDescent="0.25">
      <c r="A57" s="20"/>
      <c r="B57" s="28" t="s">
        <v>77</v>
      </c>
      <c r="C57" s="29" t="s">
        <v>79</v>
      </c>
      <c r="D57" s="30">
        <f>1974184*$L$9</f>
        <v>2075262.2207999998</v>
      </c>
      <c r="E57" s="30">
        <f>2960129*$L$9</f>
        <v>3111687.6047999999</v>
      </c>
      <c r="F57" s="23">
        <f t="shared" si="6"/>
        <v>106876.0043712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4"/>
    </row>
    <row r="58" spans="1:12" s="25" customFormat="1" ht="20.100000000000001" customHeight="1" x14ac:dyDescent="0.25">
      <c r="A58" s="20"/>
      <c r="B58" s="28" t="s">
        <v>75</v>
      </c>
      <c r="C58" s="29" t="s">
        <v>80</v>
      </c>
      <c r="D58" s="30">
        <f>3156726*$L$9</f>
        <v>3318350.3711999999</v>
      </c>
      <c r="E58" s="23">
        <v>0</v>
      </c>
      <c r="F58" s="23">
        <f t="shared" si="6"/>
        <v>170895.04411680001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4"/>
    </row>
    <row r="59" spans="1:12" s="25" customFormat="1" ht="20.100000000000001" customHeight="1" x14ac:dyDescent="0.25">
      <c r="A59" s="20"/>
      <c r="B59" s="28" t="s">
        <v>77</v>
      </c>
      <c r="C59" s="29" t="s">
        <v>80</v>
      </c>
      <c r="D59" s="30">
        <f>1873865*$L$9</f>
        <v>1969806.8879999998</v>
      </c>
      <c r="E59" s="30">
        <f>2809714*$L$9+1</f>
        <v>2953572.3567999997</v>
      </c>
      <c r="F59" s="23">
        <f t="shared" si="6"/>
        <v>101445.054732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4"/>
    </row>
    <row r="60" spans="1:12" s="25" customFormat="1" ht="20.100000000000001" customHeight="1" x14ac:dyDescent="0.25">
      <c r="A60" s="20"/>
      <c r="B60" s="28" t="s">
        <v>81</v>
      </c>
      <c r="C60" s="29" t="s">
        <v>82</v>
      </c>
      <c r="D60" s="30">
        <f>4799799*$L$9</f>
        <v>5045548.7087999992</v>
      </c>
      <c r="E60" s="23">
        <v>0</v>
      </c>
      <c r="F60" s="23">
        <f t="shared" si="6"/>
        <v>259845.75850319999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4"/>
    </row>
    <row r="61" spans="1:12" s="25" customFormat="1" ht="20.100000000000001" customHeight="1" x14ac:dyDescent="0.25">
      <c r="A61" s="20"/>
      <c r="B61" s="28" t="s">
        <v>83</v>
      </c>
      <c r="C61" s="29" t="s">
        <v>82</v>
      </c>
      <c r="D61" s="31">
        <f>2762909*$L$9</f>
        <v>2904369.9408</v>
      </c>
      <c r="E61" s="31">
        <f>4142767*$L$9-1</f>
        <v>4354875.6703999992</v>
      </c>
      <c r="F61" s="23">
        <f t="shared" si="6"/>
        <v>149575.0519512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4"/>
    </row>
    <row r="62" spans="1:12" s="25" customFormat="1" ht="20.100000000000001" customHeight="1" x14ac:dyDescent="0.25">
      <c r="A62" s="20"/>
      <c r="B62" s="28" t="s">
        <v>81</v>
      </c>
      <c r="C62" s="29" t="s">
        <v>84</v>
      </c>
      <c r="D62" s="30">
        <f>4255555*$L$9</f>
        <v>4473439.4159999993</v>
      </c>
      <c r="E62" s="23">
        <v>0</v>
      </c>
      <c r="F62" s="23">
        <f t="shared" si="6"/>
        <v>230382.12992399998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4"/>
    </row>
    <row r="63" spans="1:12" s="25" customFormat="1" ht="20.100000000000001" customHeight="1" x14ac:dyDescent="0.25">
      <c r="A63" s="20"/>
      <c r="B63" s="28" t="s">
        <v>83</v>
      </c>
      <c r="C63" s="29" t="s">
        <v>84</v>
      </c>
      <c r="D63" s="30">
        <f>2196942*$L$9</f>
        <v>2309425.4304</v>
      </c>
      <c r="E63" s="30">
        <f>3294143*$L$9</f>
        <v>3462803.1215999997</v>
      </c>
      <c r="F63" s="23">
        <f t="shared" si="6"/>
        <v>118935.4096656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4"/>
    </row>
    <row r="64" spans="1:12" s="25" customFormat="1" ht="20.100000000000001" customHeight="1" x14ac:dyDescent="0.25">
      <c r="A64" s="20"/>
      <c r="B64" s="28" t="s">
        <v>81</v>
      </c>
      <c r="C64" s="29" t="s">
        <v>85</v>
      </c>
      <c r="D64" s="30">
        <f>4026495*$L$9</f>
        <v>4232651.5439999998</v>
      </c>
      <c r="E64" s="23">
        <v>0</v>
      </c>
      <c r="F64" s="23">
        <f t="shared" si="6"/>
        <v>217981.554516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4"/>
    </row>
    <row r="65" spans="1:12" s="25" customFormat="1" ht="20.100000000000001" customHeight="1" x14ac:dyDescent="0.25">
      <c r="A65" s="20"/>
      <c r="B65" s="28" t="s">
        <v>81</v>
      </c>
      <c r="C65" s="29" t="s">
        <v>86</v>
      </c>
      <c r="D65" s="30">
        <f>3715832*$L$9</f>
        <v>3906082.5983999996</v>
      </c>
      <c r="E65" s="23">
        <v>0</v>
      </c>
      <c r="F65" s="23">
        <f t="shared" si="6"/>
        <v>201163.25381759999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4"/>
    </row>
    <row r="66" spans="1:12" s="25" customFormat="1" ht="20.100000000000001" customHeight="1" x14ac:dyDescent="0.25">
      <c r="A66" s="20"/>
      <c r="B66" s="28" t="s">
        <v>83</v>
      </c>
      <c r="C66" s="29" t="s">
        <v>86</v>
      </c>
      <c r="D66" s="30">
        <f>2067779*$L$9</f>
        <v>2173649.2848</v>
      </c>
      <c r="E66" s="30">
        <f>3100473*$L$9</f>
        <v>3259217.2175999996</v>
      </c>
      <c r="F66" s="23">
        <f t="shared" si="6"/>
        <v>111942.93816720002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4"/>
    </row>
    <row r="67" spans="1:12" s="25" customFormat="1" ht="20.100000000000001" customHeight="1" x14ac:dyDescent="0.25">
      <c r="A67" s="20"/>
      <c r="B67" s="28" t="s">
        <v>81</v>
      </c>
      <c r="C67" s="29" t="s">
        <v>87</v>
      </c>
      <c r="D67" s="30">
        <f>3448012*$L$9</f>
        <v>3624550.2143999995</v>
      </c>
      <c r="E67" s="23">
        <v>0</v>
      </c>
      <c r="F67" s="23">
        <f t="shared" si="6"/>
        <v>186664.33604159998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4"/>
    </row>
    <row r="68" spans="1:12" s="25" customFormat="1" ht="20.100000000000001" customHeight="1" x14ac:dyDescent="0.25">
      <c r="A68" s="20"/>
      <c r="B68" s="28" t="s">
        <v>88</v>
      </c>
      <c r="C68" s="29" t="s">
        <v>89</v>
      </c>
      <c r="D68" s="30">
        <f>4048163*$L$9</f>
        <v>4255428.9455999993</v>
      </c>
      <c r="E68" s="23">
        <v>0</v>
      </c>
      <c r="F68" s="23">
        <f t="shared" si="6"/>
        <v>219154.59069839999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4"/>
    </row>
    <row r="69" spans="1:12" s="25" customFormat="1" ht="20.100000000000001" customHeight="1" x14ac:dyDescent="0.25">
      <c r="A69" s="20"/>
      <c r="B69" s="28" t="s">
        <v>90</v>
      </c>
      <c r="C69" s="29" t="s">
        <v>89</v>
      </c>
      <c r="D69" s="30">
        <f>3448012*$L$9</f>
        <v>3624550.2143999995</v>
      </c>
      <c r="E69" s="23">
        <v>0</v>
      </c>
      <c r="F69" s="23">
        <f t="shared" si="6"/>
        <v>186664.33604159998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4"/>
    </row>
    <row r="70" spans="1:12" s="25" customFormat="1" ht="20.100000000000001" customHeight="1" x14ac:dyDescent="0.25">
      <c r="A70" s="20"/>
      <c r="B70" s="28" t="s">
        <v>91</v>
      </c>
      <c r="C70" s="29" t="s">
        <v>89</v>
      </c>
      <c r="D70" s="30">
        <f>1974180*$L$9</f>
        <v>2075258.0159999998</v>
      </c>
      <c r="E70" s="30">
        <f>2960129*$L$9</f>
        <v>3111687.6047999999</v>
      </c>
      <c r="F70" s="23">
        <f t="shared" si="6"/>
        <v>106875.787824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4"/>
    </row>
    <row r="71" spans="1:12" s="25" customFormat="1" ht="20.100000000000001" customHeight="1" x14ac:dyDescent="0.25">
      <c r="A71" s="20"/>
      <c r="B71" s="28" t="s">
        <v>90</v>
      </c>
      <c r="C71" s="29" t="s">
        <v>92</v>
      </c>
      <c r="D71" s="30">
        <f>3156726*$L$9</f>
        <v>3318350.3711999999</v>
      </c>
      <c r="E71" s="23">
        <v>0</v>
      </c>
      <c r="F71" s="23">
        <f t="shared" si="6"/>
        <v>170895.04411680001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4"/>
    </row>
    <row r="72" spans="1:12" s="25" customFormat="1" ht="20.100000000000001" customHeight="1" x14ac:dyDescent="0.25">
      <c r="A72" s="20"/>
      <c r="B72" s="28" t="s">
        <v>91</v>
      </c>
      <c r="C72" s="29" t="s">
        <v>92</v>
      </c>
      <c r="D72" s="30">
        <f>1873865*$L$9</f>
        <v>1969806.8879999998</v>
      </c>
      <c r="E72" s="30">
        <f>2809714*$L$9+1</f>
        <v>2953572.3567999997</v>
      </c>
      <c r="F72" s="23">
        <f t="shared" si="6"/>
        <v>101445.054732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4"/>
    </row>
    <row r="73" spans="1:12" s="25" customFormat="1" ht="20.100000000000001" customHeight="1" x14ac:dyDescent="0.25">
      <c r="A73" s="20"/>
      <c r="B73" s="28" t="s">
        <v>90</v>
      </c>
      <c r="C73" s="29" t="s">
        <v>93</v>
      </c>
      <c r="D73" s="30">
        <f>2901839*$L$9</f>
        <v>3050413.1567999995</v>
      </c>
      <c r="E73" s="23">
        <v>0</v>
      </c>
      <c r="F73" s="23">
        <f t="shared" si="6"/>
        <v>157096.27757519999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4"/>
    </row>
    <row r="74" spans="1:12" s="25" customFormat="1" ht="20.100000000000001" customHeight="1" x14ac:dyDescent="0.25">
      <c r="A74" s="20"/>
      <c r="B74" s="28" t="s">
        <v>91</v>
      </c>
      <c r="C74" s="29" t="s">
        <v>93</v>
      </c>
      <c r="D74" s="30">
        <f>1771668*$L$9</f>
        <v>1862377.4015999998</v>
      </c>
      <c r="E74" s="30">
        <f>2656478*$L$9-1</f>
        <v>2792488.6735999999</v>
      </c>
      <c r="F74" s="23">
        <f t="shared" si="6"/>
        <v>95912.436182399993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4"/>
    </row>
    <row r="75" spans="1:12" s="25" customFormat="1" ht="20.100000000000001" customHeight="1" x14ac:dyDescent="0.25">
      <c r="A75" s="20"/>
      <c r="B75" s="21" t="s">
        <v>90</v>
      </c>
      <c r="C75" s="22" t="s">
        <v>94</v>
      </c>
      <c r="D75" s="23">
        <f>2659098*$L$9</f>
        <v>2795243.8175999997</v>
      </c>
      <c r="E75" s="23">
        <v>0</v>
      </c>
      <c r="F75" s="23">
        <f t="shared" si="6"/>
        <v>143955.0566064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4"/>
    </row>
    <row r="76" spans="1:12" s="25" customFormat="1" ht="20.100000000000001" customHeight="1" x14ac:dyDescent="0.25">
      <c r="A76" s="20"/>
      <c r="B76" s="16" t="s">
        <v>95</v>
      </c>
      <c r="C76" s="17"/>
      <c r="D76" s="26"/>
      <c r="E76" s="26"/>
      <c r="F76" s="26"/>
      <c r="G76" s="26"/>
      <c r="H76" s="26"/>
      <c r="I76" s="26"/>
      <c r="J76" s="26"/>
      <c r="K76" s="27"/>
      <c r="L76" s="24"/>
    </row>
    <row r="77" spans="1:12" s="25" customFormat="1" ht="20.100000000000001" customHeight="1" x14ac:dyDescent="0.25">
      <c r="A77" s="20"/>
      <c r="B77" s="21" t="s">
        <v>96</v>
      </c>
      <c r="C77" s="22" t="s">
        <v>97</v>
      </c>
      <c r="D77" s="23">
        <f>4379260*$L$9</f>
        <v>4603478.1119999997</v>
      </c>
      <c r="E77" s="23">
        <v>0</v>
      </c>
      <c r="F77" s="23">
        <f t="shared" ref="F77:F93" si="7">D77*5.15%</f>
        <v>237079.122768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4"/>
    </row>
    <row r="78" spans="1:12" s="25" customFormat="1" ht="20.100000000000001" customHeight="1" x14ac:dyDescent="0.25">
      <c r="A78" s="20"/>
      <c r="B78" s="21" t="s">
        <v>98</v>
      </c>
      <c r="C78" s="22" t="s">
        <v>99</v>
      </c>
      <c r="D78" s="23">
        <f>4026495*$L$9</f>
        <v>4232651.5439999998</v>
      </c>
      <c r="E78" s="23">
        <v>0</v>
      </c>
      <c r="F78" s="23">
        <f t="shared" si="7"/>
        <v>217981.554516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4"/>
    </row>
    <row r="79" spans="1:12" s="25" customFormat="1" ht="20.100000000000001" customHeight="1" x14ac:dyDescent="0.25">
      <c r="A79" s="20"/>
      <c r="B79" s="21" t="s">
        <v>98</v>
      </c>
      <c r="C79" s="22" t="s">
        <v>100</v>
      </c>
      <c r="D79" s="23">
        <f>3715832*$L$9</f>
        <v>3906082.5983999996</v>
      </c>
      <c r="E79" s="23">
        <v>0</v>
      </c>
      <c r="F79" s="23">
        <f t="shared" si="7"/>
        <v>201163.25381759999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4"/>
    </row>
    <row r="80" spans="1:12" s="25" customFormat="1" ht="20.100000000000001" customHeight="1" x14ac:dyDescent="0.25">
      <c r="A80" s="20"/>
      <c r="B80" s="21" t="s">
        <v>101</v>
      </c>
      <c r="C80" s="22" t="s">
        <v>102</v>
      </c>
      <c r="D80" s="23">
        <f>4026495*$L$9</f>
        <v>4232651.5439999998</v>
      </c>
      <c r="E80" s="23">
        <v>0</v>
      </c>
      <c r="F80" s="23">
        <f t="shared" si="7"/>
        <v>217981.554516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4"/>
    </row>
    <row r="81" spans="1:12" s="25" customFormat="1" ht="20.100000000000001" customHeight="1" x14ac:dyDescent="0.25">
      <c r="A81" s="20"/>
      <c r="B81" s="21" t="s">
        <v>103</v>
      </c>
      <c r="C81" s="22" t="s">
        <v>104</v>
      </c>
      <c r="D81" s="23">
        <f>3448012*$L$9</f>
        <v>3624550.2143999995</v>
      </c>
      <c r="E81" s="23">
        <v>0</v>
      </c>
      <c r="F81" s="23">
        <f t="shared" si="7"/>
        <v>186664.33604159998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4"/>
    </row>
    <row r="82" spans="1:12" s="25" customFormat="1" ht="20.100000000000001" customHeight="1" x14ac:dyDescent="0.25">
      <c r="A82" s="20"/>
      <c r="B82" s="28" t="s">
        <v>105</v>
      </c>
      <c r="C82" s="29" t="s">
        <v>104</v>
      </c>
      <c r="D82" s="30">
        <f>1974180*$L$9</f>
        <v>2075258.0159999998</v>
      </c>
      <c r="E82" s="30">
        <f>2960129*$L$9</f>
        <v>3111687.6047999999</v>
      </c>
      <c r="F82" s="23">
        <f t="shared" si="7"/>
        <v>106875.787824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4"/>
    </row>
    <row r="83" spans="1:12" s="25" customFormat="1" ht="20.100000000000001" customHeight="1" x14ac:dyDescent="0.25">
      <c r="A83" s="20"/>
      <c r="B83" s="28" t="s">
        <v>103</v>
      </c>
      <c r="C83" s="29" t="s">
        <v>106</v>
      </c>
      <c r="D83" s="30">
        <f>3156726*$L$9</f>
        <v>3318350.3711999999</v>
      </c>
      <c r="E83" s="23">
        <v>0</v>
      </c>
      <c r="F83" s="23">
        <f t="shared" si="7"/>
        <v>170895.04411680001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4"/>
    </row>
    <row r="84" spans="1:12" s="25" customFormat="1" ht="20.100000000000001" customHeight="1" x14ac:dyDescent="0.25">
      <c r="A84" s="20"/>
      <c r="B84" s="28" t="s">
        <v>105</v>
      </c>
      <c r="C84" s="29" t="s">
        <v>106</v>
      </c>
      <c r="D84" s="30">
        <f>1873865*$L$9</f>
        <v>1969806.8879999998</v>
      </c>
      <c r="E84" s="30">
        <f>2809714*$L$9+1</f>
        <v>2953572.3567999997</v>
      </c>
      <c r="F84" s="23">
        <f t="shared" si="7"/>
        <v>101445.054732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4"/>
    </row>
    <row r="85" spans="1:12" s="25" customFormat="1" ht="20.100000000000001" customHeight="1" x14ac:dyDescent="0.25">
      <c r="A85" s="20"/>
      <c r="B85" s="28" t="s">
        <v>103</v>
      </c>
      <c r="C85" s="29" t="s">
        <v>107</v>
      </c>
      <c r="D85" s="30">
        <f>2901839*$L$9</f>
        <v>3050413.1567999995</v>
      </c>
      <c r="E85" s="23">
        <v>0</v>
      </c>
      <c r="F85" s="23">
        <f t="shared" si="7"/>
        <v>157096.27757519999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4"/>
    </row>
    <row r="86" spans="1:12" s="25" customFormat="1" ht="20.100000000000001" customHeight="1" x14ac:dyDescent="0.25">
      <c r="A86" s="20"/>
      <c r="B86" s="28" t="s">
        <v>103</v>
      </c>
      <c r="C86" s="29" t="s">
        <v>108</v>
      </c>
      <c r="D86" s="30">
        <f>2659098*$L$9</f>
        <v>2795243.8175999997</v>
      </c>
      <c r="E86" s="23">
        <v>0</v>
      </c>
      <c r="F86" s="23">
        <f t="shared" si="7"/>
        <v>143955.0566064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4"/>
    </row>
    <row r="87" spans="1:12" s="25" customFormat="1" ht="20.100000000000001" customHeight="1" x14ac:dyDescent="0.25">
      <c r="A87" s="20"/>
      <c r="B87" s="28" t="s">
        <v>109</v>
      </c>
      <c r="C87" s="29" t="s">
        <v>110</v>
      </c>
      <c r="D87" s="30">
        <f>3156726*$L$9</f>
        <v>3318350.3711999999</v>
      </c>
      <c r="E87" s="23">
        <v>0</v>
      </c>
      <c r="F87" s="23">
        <f t="shared" si="7"/>
        <v>170895.04411680001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4"/>
    </row>
    <row r="88" spans="1:12" s="25" customFormat="1" ht="20.100000000000001" customHeight="1" x14ac:dyDescent="0.25">
      <c r="A88" s="20"/>
      <c r="B88" s="28" t="s">
        <v>109</v>
      </c>
      <c r="C88" s="29" t="s">
        <v>111</v>
      </c>
      <c r="D88" s="30">
        <f>2901839*$L$9</f>
        <v>3050413.1567999995</v>
      </c>
      <c r="E88" s="23">
        <v>0</v>
      </c>
      <c r="F88" s="23">
        <f t="shared" si="7"/>
        <v>157096.27757519999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4"/>
    </row>
    <row r="89" spans="1:12" s="25" customFormat="1" ht="20.100000000000001" customHeight="1" x14ac:dyDescent="0.25">
      <c r="A89" s="20"/>
      <c r="B89" s="28" t="s">
        <v>112</v>
      </c>
      <c r="C89" s="29" t="s">
        <v>111</v>
      </c>
      <c r="D89" s="30">
        <f>1771668*$L$9</f>
        <v>1862377.4015999998</v>
      </c>
      <c r="E89" s="30">
        <f>2656478*$L$9-1</f>
        <v>2792488.6735999999</v>
      </c>
      <c r="F89" s="23">
        <f t="shared" si="7"/>
        <v>95912.436182399993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4"/>
    </row>
    <row r="90" spans="1:12" s="25" customFormat="1" ht="20.100000000000001" customHeight="1" x14ac:dyDescent="0.25">
      <c r="A90" s="20"/>
      <c r="B90" s="28" t="s">
        <v>109</v>
      </c>
      <c r="C90" s="29" t="s">
        <v>113</v>
      </c>
      <c r="D90" s="30">
        <f>2659098*$L$9</f>
        <v>2795243.8175999997</v>
      </c>
      <c r="E90" s="23">
        <v>0</v>
      </c>
      <c r="F90" s="23">
        <f t="shared" si="7"/>
        <v>143955.0566064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4"/>
    </row>
    <row r="91" spans="1:12" s="25" customFormat="1" ht="20.100000000000001" customHeight="1" x14ac:dyDescent="0.25">
      <c r="A91" s="20"/>
      <c r="B91" s="28" t="s">
        <v>112</v>
      </c>
      <c r="C91" s="29" t="s">
        <v>113</v>
      </c>
      <c r="D91" s="30">
        <f>1684531*$L$9</f>
        <v>1770778.9871999999</v>
      </c>
      <c r="E91" s="30">
        <f>2525823*$L$9</f>
        <v>2655145.1375999996</v>
      </c>
      <c r="F91" s="23">
        <f t="shared" si="7"/>
        <v>91195.117840799998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4"/>
    </row>
    <row r="92" spans="1:12" s="25" customFormat="1" ht="20.100000000000001" customHeight="1" x14ac:dyDescent="0.25">
      <c r="A92" s="20"/>
      <c r="B92" s="28" t="s">
        <v>114</v>
      </c>
      <c r="C92" s="29" t="s">
        <v>115</v>
      </c>
      <c r="D92" s="30">
        <f>2197164*$L$9</f>
        <v>2309658.7967999997</v>
      </c>
      <c r="E92" s="23">
        <v>0</v>
      </c>
      <c r="F92" s="23">
        <f t="shared" si="7"/>
        <v>118947.42803519999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4"/>
    </row>
    <row r="93" spans="1:12" s="25" customFormat="1" ht="20.100000000000001" customHeight="1" x14ac:dyDescent="0.25">
      <c r="A93" s="20"/>
      <c r="B93" s="28" t="s">
        <v>116</v>
      </c>
      <c r="C93" s="29" t="s">
        <v>115</v>
      </c>
      <c r="D93" s="30">
        <f>1485660*$L$9</f>
        <v>1561725.7919999999</v>
      </c>
      <c r="E93" s="30">
        <f>2227631*$L$9</f>
        <v>2341685.7071999996</v>
      </c>
      <c r="F93" s="23">
        <f t="shared" si="7"/>
        <v>80428.878288000007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4"/>
    </row>
    <row r="94" spans="1:12" s="25" customFormat="1" ht="20.100000000000001" customHeight="1" x14ac:dyDescent="0.25">
      <c r="A94" s="20"/>
      <c r="B94" s="16" t="s">
        <v>117</v>
      </c>
      <c r="C94" s="17"/>
      <c r="D94" s="26"/>
      <c r="E94" s="26"/>
      <c r="F94" s="26"/>
      <c r="G94" s="26"/>
      <c r="H94" s="26"/>
      <c r="I94" s="26"/>
      <c r="J94" s="26"/>
      <c r="K94" s="27"/>
      <c r="L94" s="24"/>
    </row>
    <row r="95" spans="1:12" s="25" customFormat="1" ht="20.100000000000001" customHeight="1" x14ac:dyDescent="0.25">
      <c r="A95" s="20"/>
      <c r="B95" s="21" t="s">
        <v>118</v>
      </c>
      <c r="C95" s="22" t="s">
        <v>119</v>
      </c>
      <c r="D95" s="23">
        <f>4255555*$L$9</f>
        <v>4473439.4159999993</v>
      </c>
      <c r="E95" s="23">
        <v>0</v>
      </c>
      <c r="F95" s="23">
        <f t="shared" ref="F95:F109" si="8">D95*5.15%</f>
        <v>230382.12992399998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/>
    </row>
    <row r="96" spans="1:12" s="25" customFormat="1" ht="20.100000000000001" customHeight="1" x14ac:dyDescent="0.25">
      <c r="A96" s="20"/>
      <c r="B96" s="21" t="s">
        <v>118</v>
      </c>
      <c r="C96" s="22" t="s">
        <v>120</v>
      </c>
      <c r="D96" s="23">
        <f>4026495*$L$9</f>
        <v>4232651.5439999998</v>
      </c>
      <c r="E96" s="23">
        <v>0</v>
      </c>
      <c r="F96" s="23">
        <f t="shared" si="8"/>
        <v>217981.554516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4"/>
    </row>
    <row r="97" spans="1:12" s="25" customFormat="1" ht="20.100000000000001" customHeight="1" x14ac:dyDescent="0.25">
      <c r="A97" s="20"/>
      <c r="B97" s="21" t="s">
        <v>118</v>
      </c>
      <c r="C97" s="22" t="s">
        <v>121</v>
      </c>
      <c r="D97" s="23">
        <f>3448012*$L$9</f>
        <v>3624550.2143999995</v>
      </c>
      <c r="E97" s="23">
        <v>0</v>
      </c>
      <c r="F97" s="23">
        <f t="shared" si="8"/>
        <v>186664.33604159998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4"/>
    </row>
    <row r="98" spans="1:12" s="25" customFormat="1" ht="20.100000000000001" customHeight="1" x14ac:dyDescent="0.25">
      <c r="A98" s="20"/>
      <c r="B98" s="21" t="s">
        <v>122</v>
      </c>
      <c r="C98" s="22" t="s">
        <v>123</v>
      </c>
      <c r="D98" s="23">
        <f>2659098*$L$9</f>
        <v>2795243.8175999997</v>
      </c>
      <c r="E98" s="23">
        <v>0</v>
      </c>
      <c r="F98" s="23">
        <f t="shared" si="8"/>
        <v>143955.0566064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4"/>
    </row>
    <row r="99" spans="1:12" s="25" customFormat="1" ht="20.100000000000001" customHeight="1" x14ac:dyDescent="0.25">
      <c r="A99" s="20"/>
      <c r="B99" s="21" t="s">
        <v>122</v>
      </c>
      <c r="C99" s="22" t="s">
        <v>124</v>
      </c>
      <c r="D99" s="23">
        <f>2197164*$L$9</f>
        <v>2309658.7967999997</v>
      </c>
      <c r="E99" s="23">
        <v>0</v>
      </c>
      <c r="F99" s="23">
        <f t="shared" si="8"/>
        <v>118947.42803519999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4"/>
    </row>
    <row r="100" spans="1:12" s="25" customFormat="1" ht="20.100000000000001" customHeight="1" x14ac:dyDescent="0.25">
      <c r="A100" s="20"/>
      <c r="B100" s="28" t="s">
        <v>125</v>
      </c>
      <c r="C100" s="29" t="s">
        <v>124</v>
      </c>
      <c r="D100" s="30">
        <f>1485660*$L$9</f>
        <v>1561725.7919999999</v>
      </c>
      <c r="E100" s="30">
        <f>2227631*$L$9</f>
        <v>2341685.7071999996</v>
      </c>
      <c r="F100" s="23">
        <f t="shared" si="8"/>
        <v>80428.878288000007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4"/>
    </row>
    <row r="101" spans="1:12" s="25" customFormat="1" ht="20.100000000000001" customHeight="1" x14ac:dyDescent="0.25">
      <c r="A101" s="20"/>
      <c r="B101" s="28" t="s">
        <v>126</v>
      </c>
      <c r="C101" s="29" t="s">
        <v>127</v>
      </c>
      <c r="D101" s="30">
        <f>2197164*$L$9</f>
        <v>2309658.7967999997</v>
      </c>
      <c r="E101" s="23">
        <v>0</v>
      </c>
      <c r="F101" s="23">
        <f t="shared" si="8"/>
        <v>118947.42803519999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4"/>
    </row>
    <row r="102" spans="1:12" s="25" customFormat="1" ht="20.100000000000001" customHeight="1" x14ac:dyDescent="0.25">
      <c r="A102" s="20"/>
      <c r="B102" s="28" t="s">
        <v>128</v>
      </c>
      <c r="C102" s="29" t="s">
        <v>127</v>
      </c>
      <c r="D102" s="30">
        <f>1485660*$L$9</f>
        <v>1561725.7919999999</v>
      </c>
      <c r="E102" s="30">
        <f>2227631*$L$9</f>
        <v>2341685.7071999996</v>
      </c>
      <c r="F102" s="23">
        <f t="shared" si="8"/>
        <v>80428.878288000007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4"/>
    </row>
    <row r="103" spans="1:12" s="25" customFormat="1" ht="20.100000000000001" customHeight="1" x14ac:dyDescent="0.25">
      <c r="A103" s="20"/>
      <c r="B103" s="28" t="s">
        <v>129</v>
      </c>
      <c r="C103" s="29" t="s">
        <v>130</v>
      </c>
      <c r="D103" s="30">
        <f>2197164*$L$9</f>
        <v>2309658.7967999997</v>
      </c>
      <c r="E103" s="23">
        <v>0</v>
      </c>
      <c r="F103" s="23">
        <f t="shared" si="8"/>
        <v>118947.42803519999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4"/>
    </row>
    <row r="104" spans="1:12" s="25" customFormat="1" ht="20.100000000000001" customHeight="1" x14ac:dyDescent="0.25">
      <c r="A104" s="20"/>
      <c r="B104" s="28" t="s">
        <v>126</v>
      </c>
      <c r="C104" s="29" t="s">
        <v>131</v>
      </c>
      <c r="D104" s="30">
        <f>1983390*$L$9</f>
        <v>2084939.5679999997</v>
      </c>
      <c r="E104" s="23">
        <v>0</v>
      </c>
      <c r="F104" s="23">
        <f t="shared" si="8"/>
        <v>107374.387752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4"/>
    </row>
    <row r="105" spans="1:12" s="25" customFormat="1" ht="20.100000000000001" customHeight="1" x14ac:dyDescent="0.25">
      <c r="A105" s="20"/>
      <c r="B105" s="28" t="s">
        <v>129</v>
      </c>
      <c r="C105" s="29" t="s">
        <v>132</v>
      </c>
      <c r="D105" s="30">
        <f>1983390*$L$9</f>
        <v>2084939.5679999997</v>
      </c>
      <c r="E105" s="23">
        <v>0</v>
      </c>
      <c r="F105" s="23">
        <f t="shared" si="8"/>
        <v>107374.387752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4"/>
    </row>
    <row r="106" spans="1:12" s="25" customFormat="1" ht="20.100000000000001" customHeight="1" x14ac:dyDescent="0.25">
      <c r="A106" s="20"/>
      <c r="B106" s="28" t="s">
        <v>133</v>
      </c>
      <c r="C106" s="29" t="s">
        <v>132</v>
      </c>
      <c r="D106" s="30">
        <f>1200752*$L$9</f>
        <v>1262230.5023999999</v>
      </c>
      <c r="E106" s="30">
        <f>1800434*$L$9+1</f>
        <v>1892617.2207999998</v>
      </c>
      <c r="F106" s="23">
        <f t="shared" si="8"/>
        <v>65004.870873599997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4"/>
    </row>
    <row r="107" spans="1:12" s="25" customFormat="1" ht="20.100000000000001" customHeight="1" x14ac:dyDescent="0.25">
      <c r="A107" s="20"/>
      <c r="B107" s="28" t="s">
        <v>134</v>
      </c>
      <c r="C107" s="29" t="s">
        <v>135</v>
      </c>
      <c r="D107" s="30">
        <f>1983390*$L$9</f>
        <v>2084939.5679999997</v>
      </c>
      <c r="E107" s="23">
        <v>0</v>
      </c>
      <c r="F107" s="23">
        <f t="shared" si="8"/>
        <v>107374.387752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4"/>
    </row>
    <row r="108" spans="1:12" s="25" customFormat="1" ht="20.100000000000001" customHeight="1" x14ac:dyDescent="0.25">
      <c r="A108" s="20"/>
      <c r="B108" s="28" t="s">
        <v>129</v>
      </c>
      <c r="C108" s="29" t="s">
        <v>136</v>
      </c>
      <c r="D108" s="30">
        <f>1514789*$L$9</f>
        <v>1592346.1967999998</v>
      </c>
      <c r="E108" s="23">
        <v>0</v>
      </c>
      <c r="F108" s="23">
        <f t="shared" si="8"/>
        <v>82005.829135199994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4"/>
    </row>
    <row r="109" spans="1:12" s="25" customFormat="1" ht="20.100000000000001" customHeight="1" x14ac:dyDescent="0.25">
      <c r="A109" s="20"/>
      <c r="B109" s="28" t="s">
        <v>133</v>
      </c>
      <c r="C109" s="29" t="s">
        <v>136</v>
      </c>
      <c r="D109" s="30">
        <f>1109275*$L$9</f>
        <v>1166069.8799999999</v>
      </c>
      <c r="E109" s="30">
        <f>1663271*$L$9+1</f>
        <v>1748431.4751999998</v>
      </c>
      <c r="F109" s="23">
        <f t="shared" si="8"/>
        <v>60052.598819999999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4"/>
    </row>
    <row r="110" spans="1:12" ht="27.75" customHeight="1" x14ac:dyDescent="0.25">
      <c r="A110" s="32"/>
      <c r="B110" s="2" t="s">
        <v>137</v>
      </c>
    </row>
    <row r="111" spans="1:12" ht="12.75" x14ac:dyDescent="0.2"/>
    <row r="112" spans="1:12" ht="12.75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algorithmName="SHA-512" hashValue="ALSapdx2a+VVX581R/edpY6RGOu6HcUVuvTnxkQ+Syw3KMxwRlI1yIgbPkCHFsm8IGsQTyU8nMlPrTTk3NH/GQ==" saltValue="+KM0cVwbap4+TXbVUqAsEQ==" spinCount="100000" sheet="1" formatCells="0" selectLockedCells="1"/>
  <mergeCells count="13">
    <mergeCell ref="I6:I8"/>
    <mergeCell ref="J6:J8"/>
    <mergeCell ref="K6:K8"/>
    <mergeCell ref="B2:K2"/>
    <mergeCell ref="B3:K3"/>
    <mergeCell ref="B4:K4"/>
    <mergeCell ref="B6:B8"/>
    <mergeCell ref="C6:C8"/>
    <mergeCell ref="D6:D8"/>
    <mergeCell ref="E6:E8"/>
    <mergeCell ref="F6:F8"/>
    <mergeCell ref="G6:G8"/>
    <mergeCell ref="H6:H8"/>
  </mergeCells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14" scale="3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F8584FAD5E54D9C6B8E283355D3F1" ma:contentTypeVersion="0" ma:contentTypeDescription="Create a new document." ma:contentTypeScope="" ma:versionID="1ec879953dea35d294f1db6df13dae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50B378-A5F4-4232-BC12-5BAD50B40720}"/>
</file>

<file path=customXml/itemProps2.xml><?xml version="1.0" encoding="utf-8"?>
<ds:datastoreItem xmlns:ds="http://schemas.openxmlformats.org/officeDocument/2006/customXml" ds:itemID="{F10964DA-B1AD-4777-89AA-2EFF9F4DEF11}"/>
</file>

<file path=customXml/itemProps3.xml><?xml version="1.0" encoding="utf-8"?>
<ds:datastoreItem xmlns:ds="http://schemas.openxmlformats.org/officeDocument/2006/customXml" ds:itemID="{781CF80F-2C07-463A-9A78-C848A4235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 Salarial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Pereira Toro</dc:creator>
  <cp:lastModifiedBy>Fernando Pereira Toro</cp:lastModifiedBy>
  <dcterms:created xsi:type="dcterms:W3CDTF">2021-01-14T19:18:36Z</dcterms:created>
  <dcterms:modified xsi:type="dcterms:W3CDTF">2021-01-14T19:19:54Z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0x010100D8EF8584FAD5E54D9C6B8E283355D3F1</vt:lpwstr>
  </property>
</Properties>
</file>