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2. GRUPO GESTIÓN NÓMINA, AFILIACIONES Y PENSIONES\24. Escalas Salariales PGN\2023\"/>
    </mc:Choice>
  </mc:AlternateContent>
  <xr:revisionPtr revIDLastSave="0" documentId="8_{BB067105-D48C-4155-828B-18BF3F767F19}" xr6:coauthVersionLast="47" xr6:coauthVersionMax="47" xr10:uidLastSave="{00000000-0000-0000-0000-000000000000}"/>
  <bookViews>
    <workbookView xWindow="-120" yWindow="-120" windowWidth="29040" windowHeight="15720" firstSheet="1" activeTab="1" xr2:uid="{C8A5CA98-4274-4885-9E81-A0EAB8AB18CA}"/>
  </bookViews>
  <sheets>
    <sheet name="Escala Salarial Directivos" sheetId="3" state="hidden" r:id="rId1"/>
    <sheet name="Escala Salarial PGN 2023" sheetId="1" r:id="rId2"/>
  </sheets>
  <externalReferences>
    <externalReference r:id="rId3"/>
  </externalReferences>
  <definedNames>
    <definedName name="_xlnm._FilterDatabase" localSheetId="1" hidden="1">'Escala Salarial PGN 2023'!$B$95:$D$95</definedName>
    <definedName name="activo" localSheetId="0">[1]DESPLEGABLES!#REF!</definedName>
    <definedName name="activo" localSheetId="1">[1]DESPLEGABLES!#REF!</definedName>
    <definedName name="activo">[1]DESPLEGABLES!#REF!</definedName>
    <definedName name="_xlnm.Print_Area" localSheetId="1">'Escala Salarial PGN 2023'!$B$2:$N$110</definedName>
    <definedName name="bien_o_servicio" localSheetId="0">[1]DESPLEGABLES!#REF!</definedName>
    <definedName name="bien_o_servicio" localSheetId="1">[1]DESPLEGABLES!#REF!</definedName>
    <definedName name="bien_o_servicio">[1]DESPLEGABLES!#REF!</definedName>
    <definedName name="CPC" localSheetId="0">[1]DESPLEGABLES!#REF!</definedName>
    <definedName name="CPC" localSheetId="1">[1]DESPLEGABLES!#REF!</definedName>
    <definedName name="CPC">[1]DESPLEGABLES!#REF!</definedName>
    <definedName name="Derechos_administrativos" localSheetId="0">[1]DESPLEGABLES!#REF!</definedName>
    <definedName name="Derechos_administrativos" localSheetId="1">[1]DESPLEGABLES!#REF!</definedName>
    <definedName name="Derechos_administrativos">[1]DESPLEGABLES!#REF!</definedName>
    <definedName name="Fondos" localSheetId="0">[1]DESPLEGABLES!#REF!</definedName>
    <definedName name="Fondos" localSheetId="1">[1]DESPLEGABLES!#REF!</definedName>
    <definedName name="Fondos">[1]DESPLEGABLES!#REF!</definedName>
    <definedName name="TIPO_DE_INGRESO" localSheetId="0">[1]DESPLEGABLES!#REF!</definedName>
    <definedName name="TIPO_DE_INGRESO" localSheetId="1">[1]DESPLEGABLES!#REF!</definedName>
    <definedName name="TIPO_DE_INGRESO">[1]DESPLEGABLES!#REF!</definedName>
    <definedName name="TIPO_DE_INGRESO_A_REGISTRAR" localSheetId="0">[1]DESPLEGABLES!#REF!</definedName>
    <definedName name="TIPO_DE_INGRESO_A_REGISTRAR" localSheetId="1">[1]DESPLEGABLES!#REF!</definedName>
    <definedName name="TIPO_DE_INGRESO_A_REGISTRAR">[1]DESPLEGABLES!#REF!</definedName>
    <definedName name="TIPO_INGRESO" localSheetId="0">[1]DESPLEGABLES!#REF!</definedName>
    <definedName name="TIPO_INGRESO" localSheetId="1">[1]DESPLEGABLES!#REF!</definedName>
    <definedName name="TIPO_INGRESO">[1]DESPLEGABLES!#REF!</definedName>
    <definedName name="Ventas_de_establecimientos_de_mercado" localSheetId="0">[1]DESPLEGABLES!#REF!</definedName>
    <definedName name="Ventas_de_establecimientos_de_mercado" localSheetId="1">[1]DESPLEGABLES!#REF!</definedName>
    <definedName name="Ventas_de_establecimientos_de_mercado">[1]DESPLEGABLES!#REF!</definedName>
    <definedName name="Ventas_incidentales_de_establecimiento_no_de_mercado" localSheetId="0">[1]DESPLEGABLES!#REF!</definedName>
    <definedName name="Ventas_incidentales_de_establecimiento_no_de_mercado" localSheetId="1">[1]DESPLEGABLES!#REF!</definedName>
    <definedName name="Ventas_incidentales_de_establecimiento_no_de_mercado">[1]DESPLEGABLES!#REF!</definedName>
    <definedName name="Ventas_incidentales_de_establecimientos_no_de_mercado" localSheetId="0">[1]DESPLEGABLES!#REF!</definedName>
    <definedName name="Ventas_incidentales_de_establecimientos_no_de_mercado" localSheetId="1">[1]DESPLEGABLES!#REF!</definedName>
    <definedName name="Ventas_incidentales_de_establecimientos_no_de_mercado">[1]DESPLEGABLES!#REF!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1" l="1"/>
  <c r="E110" i="1"/>
  <c r="E107" i="1"/>
  <c r="E103" i="1"/>
  <c r="E10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79" i="1"/>
  <c r="E94" i="1"/>
  <c r="E92" i="1"/>
  <c r="E90" i="1"/>
  <c r="E85" i="1"/>
  <c r="E83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8" i="1"/>
  <c r="D76" i="1"/>
  <c r="E54" i="1"/>
  <c r="E75" i="1"/>
  <c r="E73" i="1"/>
  <c r="E71" i="1"/>
  <c r="E67" i="1"/>
  <c r="E64" i="1"/>
  <c r="E62" i="1"/>
  <c r="E60" i="1"/>
  <c r="E58" i="1"/>
  <c r="E5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4" i="1"/>
  <c r="E43" i="1"/>
  <c r="E41" i="1"/>
  <c r="E39" i="1"/>
  <c r="D39" i="1"/>
  <c r="D37" i="1"/>
  <c r="D36" i="1"/>
  <c r="D43" i="1"/>
  <c r="D42" i="1"/>
  <c r="D41" i="1"/>
  <c r="D40" i="1"/>
  <c r="D38" i="1"/>
  <c r="D32" i="1"/>
  <c r="H32" i="1"/>
  <c r="D33" i="1"/>
  <c r="D30" i="1"/>
  <c r="H22" i="1"/>
  <c r="H21" i="1"/>
  <c r="E30" i="1"/>
  <c r="D29" i="1"/>
  <c r="E28" i="1"/>
  <c r="D28" i="1"/>
  <c r="D27" i="1"/>
  <c r="E26" i="1"/>
  <c r="D26" i="1"/>
  <c r="D25" i="1"/>
  <c r="D24" i="1"/>
  <c r="D23" i="1"/>
  <c r="D21" i="1"/>
  <c r="D22" i="1"/>
  <c r="D19" i="1"/>
  <c r="K18" i="1"/>
  <c r="K17" i="1"/>
  <c r="K16" i="1"/>
  <c r="K15" i="1"/>
  <c r="K14" i="1"/>
  <c r="K13" i="1"/>
  <c r="H13" i="1"/>
  <c r="H16" i="1" l="1"/>
  <c r="H15" i="1"/>
  <c r="H14" i="1"/>
  <c r="G13" i="1"/>
  <c r="G19" i="1"/>
  <c r="G18" i="1"/>
  <c r="G17" i="1"/>
  <c r="G16" i="1"/>
  <c r="G15" i="1"/>
  <c r="G14" i="1"/>
  <c r="D13" i="1"/>
  <c r="D18" i="1"/>
  <c r="D16" i="1"/>
  <c r="D15" i="1"/>
  <c r="D14" i="1"/>
  <c r="D17" i="1"/>
  <c r="I18" i="3" l="1"/>
  <c r="I17" i="3"/>
  <c r="I16" i="3"/>
  <c r="I15" i="3"/>
  <c r="I14" i="3"/>
  <c r="I13" i="3"/>
  <c r="I12" i="3"/>
  <c r="I11" i="3"/>
  <c r="I10" i="3"/>
  <c r="I9" i="3"/>
  <c r="F107" i="1"/>
  <c r="F92" i="1"/>
  <c r="F83" i="1"/>
  <c r="F73" i="1"/>
  <c r="F56" i="1"/>
  <c r="F43" i="1"/>
  <c r="F102" i="1"/>
  <c r="F100" i="1"/>
  <c r="F98" i="1"/>
  <c r="F97" i="1"/>
  <c r="F93" i="1"/>
  <c r="F84" i="1"/>
  <c r="F81" i="1"/>
  <c r="F57" i="1"/>
  <c r="F49" i="1"/>
  <c r="F104" i="1"/>
  <c r="F103" i="1"/>
  <c r="F91" i="1"/>
  <c r="F86" i="1"/>
  <c r="F85" i="1"/>
  <c r="F78" i="1"/>
  <c r="F72" i="1"/>
  <c r="F69" i="1"/>
  <c r="F68" i="1"/>
  <c r="F64" i="1"/>
  <c r="F63" i="1"/>
  <c r="F54" i="1"/>
  <c r="F53" i="1"/>
  <c r="F52" i="1"/>
  <c r="F51" i="1"/>
  <c r="F50" i="1"/>
  <c r="F48" i="1"/>
  <c r="F47" i="1"/>
  <c r="F46" i="1"/>
  <c r="F44" i="1"/>
  <c r="F39" i="1"/>
  <c r="F38" i="1"/>
  <c r="J37" i="1"/>
  <c r="J36" i="1"/>
  <c r="N36" i="1" s="1"/>
  <c r="N23" i="1"/>
  <c r="F110" i="1"/>
  <c r="F109" i="1"/>
  <c r="F108" i="1"/>
  <c r="F106" i="1"/>
  <c r="F105" i="1"/>
  <c r="F101" i="1"/>
  <c r="F99" i="1"/>
  <c r="F96" i="1"/>
  <c r="F94" i="1"/>
  <c r="F90" i="1"/>
  <c r="F89" i="1"/>
  <c r="F88" i="1"/>
  <c r="F87" i="1"/>
  <c r="F82" i="1"/>
  <c r="F80" i="1"/>
  <c r="F79" i="1"/>
  <c r="F76" i="1"/>
  <c r="F75" i="1"/>
  <c r="F74" i="1"/>
  <c r="F71" i="1"/>
  <c r="F70" i="1"/>
  <c r="F67" i="1"/>
  <c r="F66" i="1"/>
  <c r="F65" i="1"/>
  <c r="F62" i="1"/>
  <c r="F61" i="1"/>
  <c r="F60" i="1"/>
  <c r="F59" i="1"/>
  <c r="F58" i="1"/>
  <c r="F55" i="1"/>
  <c r="F42" i="1"/>
  <c r="F41" i="1"/>
  <c r="F40" i="1"/>
  <c r="F30" i="1"/>
  <c r="F33" i="1"/>
  <c r="F29" i="1"/>
  <c r="N27" i="1"/>
  <c r="N24" i="1"/>
  <c r="N25" i="1"/>
  <c r="N12" i="1" l="1"/>
  <c r="N11" i="1"/>
  <c r="N26" i="1"/>
  <c r="N37" i="1"/>
  <c r="N22" i="1"/>
  <c r="N19" i="1"/>
  <c r="N10" i="1"/>
  <c r="N28" i="1"/>
  <c r="N18" i="1"/>
  <c r="N35" i="1"/>
  <c r="N49" i="1"/>
  <c r="N72" i="1"/>
  <c r="N104" i="1"/>
  <c r="N38" i="1"/>
  <c r="N33" i="1"/>
  <c r="N39" i="1"/>
  <c r="N44" i="1"/>
  <c r="N53" i="1"/>
  <c r="N64" i="1"/>
  <c r="N70" i="1"/>
  <c r="N75" i="1"/>
  <c r="N83" i="1"/>
  <c r="N89" i="1"/>
  <c r="N94" i="1"/>
  <c r="N98" i="1"/>
  <c r="N42" i="1"/>
  <c r="N58" i="1"/>
  <c r="N69" i="1"/>
  <c r="N82" i="1"/>
  <c r="N93" i="1"/>
  <c r="N46" i="1"/>
  <c r="N54" i="1"/>
  <c r="N59" i="1"/>
  <c r="N102" i="1"/>
  <c r="N107" i="1"/>
  <c r="N56" i="1"/>
  <c r="N61" i="1"/>
  <c r="N67" i="1"/>
  <c r="N79" i="1"/>
  <c r="N109" i="1"/>
  <c r="N63" i="1"/>
  <c r="N88" i="1"/>
  <c r="N14" i="1"/>
  <c r="N16" i="1"/>
  <c r="N29" i="1"/>
  <c r="N40" i="1"/>
  <c r="N47" i="1"/>
  <c r="N60" i="1"/>
  <c r="N65" i="1"/>
  <c r="N76" i="1"/>
  <c r="N84" i="1"/>
  <c r="N96" i="1"/>
  <c r="N103" i="1"/>
  <c r="N52" i="1"/>
  <c r="N74" i="1"/>
  <c r="N101" i="1"/>
  <c r="N30" i="1"/>
  <c r="N41" i="1"/>
  <c r="N48" i="1"/>
  <c r="N55" i="1"/>
  <c r="N66" i="1"/>
  <c r="N71" i="1"/>
  <c r="N78" i="1"/>
  <c r="N85" i="1"/>
  <c r="N90" i="1"/>
  <c r="N97" i="1"/>
  <c r="N108" i="1"/>
  <c r="N91" i="1"/>
  <c r="N50" i="1"/>
  <c r="N62" i="1"/>
  <c r="N73" i="1"/>
  <c r="N80" i="1"/>
  <c r="N86" i="1"/>
  <c r="N92" i="1"/>
  <c r="N99" i="1"/>
  <c r="N105" i="1"/>
  <c r="N110" i="1"/>
  <c r="N13" i="1"/>
  <c r="N15" i="1"/>
  <c r="N17" i="1"/>
  <c r="N21" i="1"/>
  <c r="N32" i="1"/>
  <c r="N43" i="1"/>
  <c r="N51" i="1"/>
  <c r="N57" i="1"/>
  <c r="N68" i="1"/>
  <c r="N81" i="1"/>
  <c r="N87" i="1"/>
  <c r="N100" i="1"/>
  <c r="N106" i="1"/>
</calcChain>
</file>

<file path=xl/sharedStrings.xml><?xml version="1.0" encoding="utf-8"?>
<sst xmlns="http://schemas.openxmlformats.org/spreadsheetml/2006/main" count="260" uniqueCount="143">
  <si>
    <t>PROCURADURÍA GENERAL DE LA NACIÓN</t>
  </si>
  <si>
    <t>DIVISIÓN DE GESTIÓN HUMANA</t>
  </si>
  <si>
    <t>DENOMINACIÓN DE CARGO</t>
  </si>
  <si>
    <t>Grado</t>
  </si>
  <si>
    <t>Asignación Básica
 Mensual</t>
  </si>
  <si>
    <t>Prima de Antigüedad</t>
  </si>
  <si>
    <t>Prima Mensual Decreto 1544/20</t>
  </si>
  <si>
    <t>Gastos de Representación</t>
  </si>
  <si>
    <t>Prima Técnica</t>
  </si>
  <si>
    <t>Bonificación Judicial</t>
  </si>
  <si>
    <t>Bonificación Compensación</t>
  </si>
  <si>
    <t>Básica</t>
  </si>
  <si>
    <t>Mensual</t>
  </si>
  <si>
    <t>NIVEL DIRECTIVO</t>
  </si>
  <si>
    <t>PROCURADOR GRAL. NACION</t>
  </si>
  <si>
    <t>0PG-EA</t>
  </si>
  <si>
    <t>VICEPROCURADOR GENERAL</t>
  </si>
  <si>
    <t>0PV-EA</t>
  </si>
  <si>
    <t>PROCURADOR DELEGADO</t>
  </si>
  <si>
    <t>0PD-EA</t>
  </si>
  <si>
    <t>DIRECTOR</t>
  </si>
  <si>
    <t>0DI-EB</t>
  </si>
  <si>
    <t>PROCURADOR AUXILIAR</t>
  </si>
  <si>
    <t>0PX-EB</t>
  </si>
  <si>
    <t>VEEDOR</t>
  </si>
  <si>
    <t>0VE-EB</t>
  </si>
  <si>
    <t>SECRETARIO GENERAL</t>
  </si>
  <si>
    <t>0SG-EB</t>
  </si>
  <si>
    <t>PROCURADOR REGIONAL</t>
  </si>
  <si>
    <t>0PR-ED</t>
  </si>
  <si>
    <t>PROCURADOR DISTRITAL</t>
  </si>
  <si>
    <t>0PI-EE</t>
  </si>
  <si>
    <t>PROCURADOR PROVINCIAL</t>
  </si>
  <si>
    <t>0PP-EF</t>
  </si>
  <si>
    <t>NIVEL ASESOR</t>
  </si>
  <si>
    <t>SECRETARIO PRIVADO</t>
  </si>
  <si>
    <t>1SP-25</t>
  </si>
  <si>
    <t>JEFE DE OFICINA</t>
  </si>
  <si>
    <t>1JO-25</t>
  </si>
  <si>
    <t>ASESOR</t>
  </si>
  <si>
    <t>1AS-25</t>
  </si>
  <si>
    <t>1AS-24</t>
  </si>
  <si>
    <t>1AS-22</t>
  </si>
  <si>
    <t>ASESOR*</t>
  </si>
  <si>
    <t>1AS-21</t>
  </si>
  <si>
    <t>1AS-19</t>
  </si>
  <si>
    <t>NIVEL EJECUTIVO</t>
  </si>
  <si>
    <t>JEFE DE DIVISION</t>
  </si>
  <si>
    <t>2JD-22</t>
  </si>
  <si>
    <t>TESORERO</t>
  </si>
  <si>
    <t>2TE-21</t>
  </si>
  <si>
    <t>NIVEL PROFESIONAL</t>
  </si>
  <si>
    <t>PROCURADOR JUDICIAL II</t>
  </si>
  <si>
    <t>3PJ-EC</t>
  </si>
  <si>
    <t>PROCURADOR JUDICIAL I</t>
  </si>
  <si>
    <t>3PJ-EG</t>
  </si>
  <si>
    <t>PROFESIONAL UNIVERSITARIO</t>
  </si>
  <si>
    <t>3PU-18</t>
  </si>
  <si>
    <t>PROFESIONAL UNIVERSITARIO*</t>
  </si>
  <si>
    <t>3PU-17</t>
  </si>
  <si>
    <t>3PU-15</t>
  </si>
  <si>
    <t>COORDINADOR ADMINISTRATIVO</t>
  </si>
  <si>
    <t>3CA-17</t>
  </si>
  <si>
    <t>NIVEL TECNICO</t>
  </si>
  <si>
    <t>TECNICO INVESTIGADOR</t>
  </si>
  <si>
    <t>4TI-19</t>
  </si>
  <si>
    <t>4TI-17</t>
  </si>
  <si>
    <t>4TI-15</t>
  </si>
  <si>
    <t>4TI-11</t>
  </si>
  <si>
    <t>TECNICO CRIMINALISTICA</t>
  </si>
  <si>
    <t>4TC-19</t>
  </si>
  <si>
    <t>4TC-17</t>
  </si>
  <si>
    <t>4TC-15</t>
  </si>
  <si>
    <t>SECRETARIO PROCURADURIA</t>
  </si>
  <si>
    <t>4SP-13</t>
  </si>
  <si>
    <t>SECRETARIO PROCURADURIA*</t>
  </si>
  <si>
    <t>4SP-12</t>
  </si>
  <si>
    <t>4SP-11</t>
  </si>
  <si>
    <t>4SP-10</t>
  </si>
  <si>
    <t>TECNICO ADMINISTRATIVO</t>
  </si>
  <si>
    <t>4TM-16</t>
  </si>
  <si>
    <t>TECNICO ADMINISTRATIVO*</t>
  </si>
  <si>
    <t>4TM-14</t>
  </si>
  <si>
    <t>4TM-13</t>
  </si>
  <si>
    <t>4TM-12</t>
  </si>
  <si>
    <t>4TM-11</t>
  </si>
  <si>
    <t>SUSTANCIADOR PJ</t>
  </si>
  <si>
    <t>4SU-11</t>
  </si>
  <si>
    <t>SUSTANCIADOR</t>
  </si>
  <si>
    <t>SUSTANCIADOR*</t>
  </si>
  <si>
    <t>4SU-10</t>
  </si>
  <si>
    <t>4SU-09</t>
  </si>
  <si>
    <t>4SU-08</t>
  </si>
  <si>
    <t>NIVEL ADMINISTRATIVO</t>
  </si>
  <si>
    <t>SECRETARIO  EJECUTIVO</t>
  </si>
  <si>
    <t>5SJ-15</t>
  </si>
  <si>
    <t>SECRETARIO EJECUTIVO</t>
  </si>
  <si>
    <t>5SJ-13</t>
  </si>
  <si>
    <t>5SJ-12</t>
  </si>
  <si>
    <t>CAJERO</t>
  </si>
  <si>
    <t>5CA-13</t>
  </si>
  <si>
    <t>SECRETARIO</t>
  </si>
  <si>
    <t>5SE-11</t>
  </si>
  <si>
    <t>SECRETARIO*</t>
  </si>
  <si>
    <t>5SE-10</t>
  </si>
  <si>
    <t>5SE-09</t>
  </si>
  <si>
    <t>5SE-08</t>
  </si>
  <si>
    <t>AUXILIAR ADMINISTRATIVO</t>
  </si>
  <si>
    <t>5AM-10</t>
  </si>
  <si>
    <t>5AM-09</t>
  </si>
  <si>
    <t>AUXILIAR ADMINISTRATIVO*</t>
  </si>
  <si>
    <t>5AM-08</t>
  </si>
  <si>
    <t>OFICINISTA</t>
  </si>
  <si>
    <t>5OF-06</t>
  </si>
  <si>
    <t>OFICINISTA*</t>
  </si>
  <si>
    <t>NIVEL OPERATIVO</t>
  </si>
  <si>
    <t>AGENTE DE SEGURIDAD</t>
  </si>
  <si>
    <t>6AG-14</t>
  </si>
  <si>
    <t>6AG-13</t>
  </si>
  <si>
    <t>6AG-11</t>
  </si>
  <si>
    <t>CONDUCTOR</t>
  </si>
  <si>
    <t>6CH-08</t>
  </si>
  <si>
    <t>6CH-06</t>
  </si>
  <si>
    <t>CONDUCTOR*</t>
  </si>
  <si>
    <t>AUXILIAR MANTENIMIENTO</t>
  </si>
  <si>
    <t>6AN-06</t>
  </si>
  <si>
    <t>AUXILIAR  MANTENIMIENTO*</t>
  </si>
  <si>
    <t>AUXILIAR SERVICIOS GRALES</t>
  </si>
  <si>
    <t>6AS-06</t>
  </si>
  <si>
    <t>6AN-04</t>
  </si>
  <si>
    <t>6AS-04</t>
  </si>
  <si>
    <t>AUXILIAR SERVICIOS GRALES*</t>
  </si>
  <si>
    <t xml:space="preserve">CITADOR  </t>
  </si>
  <si>
    <t>6CI-04</t>
  </si>
  <si>
    <t>6AS-03</t>
  </si>
  <si>
    <t>* Cargos con Prima de Antigüedad</t>
  </si>
  <si>
    <t>Total Salario</t>
  </si>
  <si>
    <t>Prima Especial de Servicios Art. 15 Ley 4 de 1992</t>
  </si>
  <si>
    <t>Prima Especial de Servicios Art. 14 Ley 4 de 1992</t>
  </si>
  <si>
    <t>Prima Especial de Servicios  Ley 4 de 1992,  No Salarial</t>
  </si>
  <si>
    <t>Fuente: Grupo de Gestión Nómina, Afiliaciones y Pensiones</t>
  </si>
  <si>
    <t>REMUNERACIÓN MENSUAL DEL PERSONAL DIRECTIVO DE LA PGN</t>
  </si>
  <si>
    <t>ESCALA SALARIAL FUNCIONARIOS PÚBLICOS - PGN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</si>
</sst>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00_-;\-* #,##0.0000_-;_-* &quot;-&quot;_-;_-@_-"/>
    <numFmt numFmtId="165" formatCode="_-&quot;$&quot;* #,##0_-;\-&quot;$&quot;* #,##0_-;_-&quot;$&quot;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37" fontId="2" fillId="0" borderId="0"/>
    <xf numFmtId="0" fontId="1" fillId="0" borderId="0"/>
    <xf numFmtId="165" fontId="1" fillId="0" borderId="0" applyFont="0" applyFill="0" applyBorder="0" applyAlignment="0" applyProtection="0"/>
  </cellStyleXfs>
  <cellXfs count="24">
    <xf numFmtId="0" fontId="0" fillId="0" borderId="0" xfId="0"/>
    <xf numFmtId="37" fontId="2" fillId="0" borderId="0" xfId="2" applyProtection="1">
      <protection locked="0"/>
    </xf>
    <xf numFmtId="37" fontId="3" fillId="0" borderId="0" xfId="2" applyFont="1" applyProtection="1">
      <protection locked="0"/>
    </xf>
    <xf numFmtId="37" fontId="3" fillId="0" borderId="0" xfId="2" applyFont="1" applyAlignment="1" applyProtection="1">
      <alignment horizontal="center"/>
      <protection locked="0"/>
    </xf>
    <xf numFmtId="37" fontId="2" fillId="0" borderId="1" xfId="2" applyBorder="1" applyProtection="1">
      <protection locked="0"/>
    </xf>
    <xf numFmtId="37" fontId="5" fillId="3" borderId="3" xfId="2" applyFont="1" applyFill="1" applyBorder="1" applyAlignment="1" applyProtection="1">
      <alignment vertical="center"/>
      <protection locked="0"/>
    </xf>
    <xf numFmtId="37" fontId="5" fillId="3" borderId="4" xfId="2" applyFont="1" applyFill="1" applyBorder="1" applyAlignment="1" applyProtection="1">
      <alignment vertical="center"/>
      <protection locked="0"/>
    </xf>
    <xf numFmtId="37" fontId="2" fillId="0" borderId="1" xfId="2" applyBorder="1" applyAlignment="1" applyProtection="1">
      <alignment vertical="center"/>
      <protection locked="0"/>
    </xf>
    <xf numFmtId="37" fontId="2" fillId="0" borderId="2" xfId="2" applyBorder="1" applyAlignment="1" applyProtection="1">
      <alignment vertical="center"/>
      <protection locked="0"/>
    </xf>
    <xf numFmtId="37" fontId="2" fillId="0" borderId="2" xfId="2" applyBorder="1" applyAlignment="1" applyProtection="1">
      <alignment horizontal="center" vertical="center"/>
      <protection locked="0"/>
    </xf>
    <xf numFmtId="165" fontId="2" fillId="0" borderId="2" xfId="4" applyFont="1" applyBorder="1" applyAlignment="1" applyProtection="1">
      <alignment vertical="center"/>
      <protection hidden="1"/>
    </xf>
    <xf numFmtId="37" fontId="2" fillId="0" borderId="0" xfId="2" applyAlignment="1" applyProtection="1">
      <alignment vertical="center"/>
      <protection locked="0"/>
    </xf>
    <xf numFmtId="37" fontId="5" fillId="3" borderId="4" xfId="2" applyFont="1" applyFill="1" applyBorder="1" applyAlignment="1" applyProtection="1">
      <alignment vertical="center"/>
      <protection hidden="1"/>
    </xf>
    <xf numFmtId="37" fontId="5" fillId="3" borderId="5" xfId="2" applyFont="1" applyFill="1" applyBorder="1" applyAlignment="1" applyProtection="1">
      <alignment vertical="center"/>
      <protection hidden="1"/>
    </xf>
    <xf numFmtId="37" fontId="2" fillId="4" borderId="2" xfId="2" applyFill="1" applyBorder="1" applyAlignment="1" applyProtection="1">
      <alignment vertical="center"/>
      <protection locked="0"/>
    </xf>
    <xf numFmtId="37" fontId="2" fillId="4" borderId="2" xfId="2" applyFill="1" applyBorder="1" applyAlignment="1" applyProtection="1">
      <alignment horizontal="center" vertical="center"/>
      <protection locked="0"/>
    </xf>
    <xf numFmtId="165" fontId="2" fillId="4" borderId="2" xfId="4" applyFont="1" applyFill="1" applyBorder="1" applyAlignment="1" applyProtection="1">
      <alignment vertical="center"/>
      <protection hidden="1"/>
    </xf>
    <xf numFmtId="37" fontId="2" fillId="4" borderId="2" xfId="2" applyFill="1" applyBorder="1" applyAlignment="1" applyProtection="1">
      <alignment vertical="center"/>
      <protection hidden="1"/>
    </xf>
    <xf numFmtId="37" fontId="7" fillId="0" borderId="0" xfId="2" applyFont="1" applyProtection="1">
      <protection locked="0"/>
    </xf>
    <xf numFmtId="37" fontId="2" fillId="0" borderId="0" xfId="2" applyAlignment="1" applyProtection="1">
      <alignment horizontal="center"/>
      <protection locked="0"/>
    </xf>
    <xf numFmtId="164" fontId="6" fillId="3" borderId="4" xfId="1" applyNumberFormat="1" applyFont="1" applyFill="1" applyBorder="1" applyAlignment="1" applyProtection="1">
      <alignment vertical="center"/>
      <protection locked="0"/>
    </xf>
    <xf numFmtId="164" fontId="8" fillId="3" borderId="4" xfId="1" applyNumberFormat="1" applyFont="1" applyFill="1" applyBorder="1" applyAlignment="1" applyProtection="1">
      <alignment vertical="center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37" fontId="3" fillId="2" borderId="2" xfId="2" applyFont="1" applyFill="1" applyBorder="1" applyAlignment="1" applyProtection="1">
      <alignment horizontal="center"/>
      <protection locked="0"/>
    </xf>
  </cellXfs>
  <cellStyles count="5">
    <cellStyle name="Millares [0]" xfId="1" builtinId="6"/>
    <cellStyle name="Moneda [0] 2" xfId="4" xr:uid="{7C48374E-A346-4D46-9D55-FC92466F02F0}"/>
    <cellStyle name="Normal" xfId="0" builtinId="0"/>
    <cellStyle name="Normal 3" xfId="2" xr:uid="{9B4051F0-53AC-48F7-BAAA-B929414BEBC8}"/>
    <cellStyle name="Normal 4" xfId="3" xr:uid="{2CB42A35-EAAD-4CD4-B526-EE711ABD50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moreno\Downloads\Anteproyecto%202019\2-1%20Formularios%20Planta%20anteproyecto%202019%20V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4- Planta"/>
      <sheetName val="Formulario 4A - Nómina"/>
      <sheetName val="DESPLEGABL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431E1-9641-49DE-A056-BF8225C6C0B7}">
  <sheetPr>
    <pageSetUpPr fitToPage="1"/>
  </sheetPr>
  <dimension ref="A1:I41"/>
  <sheetViews>
    <sheetView showGridLines="0" topLeftCell="A3" zoomScale="80" zoomScaleNormal="80" workbookViewId="0">
      <selection activeCell="G28" sqref="G28"/>
    </sheetView>
  </sheetViews>
  <sheetFormatPr baseColWidth="10" defaultColWidth="0" defaultRowHeight="0" customHeight="1" zeroHeight="1" x14ac:dyDescent="0.2"/>
  <cols>
    <col min="1" max="1" width="6.28515625" style="1" customWidth="1"/>
    <col min="2" max="2" width="33.7109375" style="1" customWidth="1"/>
    <col min="3" max="3" width="15.7109375" style="19" customWidth="1"/>
    <col min="4" max="4" width="20.28515625" style="1" customWidth="1"/>
    <col min="5" max="8" width="18.7109375" style="1" customWidth="1"/>
    <col min="9" max="9" width="16.7109375" style="1" customWidth="1"/>
    <col min="10" max="10" width="11.42578125" style="1" customWidth="1"/>
    <col min="11" max="11" width="16.28515625" style="1" customWidth="1"/>
    <col min="12" max="249" width="11.42578125" style="1" customWidth="1"/>
    <col min="250" max="250" width="10.5703125" style="1" customWidth="1"/>
    <col min="251" max="251" width="6.28515625" style="1" customWidth="1"/>
    <col min="252" max="252" width="37.140625" style="1" customWidth="1"/>
    <col min="253" max="253" width="8.140625" style="1" bestFit="1" customWidth="1"/>
    <col min="254" max="254" width="11.42578125" style="1" customWidth="1"/>
    <col min="255" max="255" width="11.7109375" style="1" bestFit="1" customWidth="1"/>
    <col min="256" max="256" width="14.85546875" style="1" bestFit="1" customWidth="1"/>
    <col min="257" max="257" width="13.28515625" style="1" bestFit="1" customWidth="1"/>
    <col min="258" max="258" width="5.85546875" style="1" customWidth="1"/>
    <col min="259" max="259" width="11.42578125" style="1" customWidth="1"/>
    <col min="260" max="506" width="0" style="1" hidden="1"/>
    <col min="507" max="507" width="6.28515625" style="1" customWidth="1"/>
    <col min="508" max="508" width="37.140625" style="1" customWidth="1"/>
    <col min="509" max="509" width="8.140625" style="1" bestFit="1" customWidth="1"/>
    <col min="510" max="510" width="11.42578125" style="1" customWidth="1"/>
    <col min="511" max="511" width="11.7109375" style="1" bestFit="1" customWidth="1"/>
    <col min="512" max="512" width="14.85546875" style="1" bestFit="1" customWidth="1"/>
    <col min="513" max="513" width="13.28515625" style="1" bestFit="1" customWidth="1"/>
    <col min="514" max="514" width="5.85546875" style="1" customWidth="1"/>
    <col min="515" max="515" width="11.42578125" style="1" customWidth="1"/>
    <col min="516" max="762" width="0" style="1" hidden="1"/>
    <col min="763" max="763" width="6.28515625" style="1" customWidth="1"/>
    <col min="764" max="764" width="37.140625" style="1" customWidth="1"/>
    <col min="765" max="765" width="8.140625" style="1" bestFit="1" customWidth="1"/>
    <col min="766" max="766" width="11.42578125" style="1" customWidth="1"/>
    <col min="767" max="767" width="11.7109375" style="1" bestFit="1" customWidth="1"/>
    <col min="768" max="768" width="14.85546875" style="1" bestFit="1" customWidth="1"/>
    <col min="769" max="769" width="13.28515625" style="1" bestFit="1" customWidth="1"/>
    <col min="770" max="770" width="5.85546875" style="1" customWidth="1"/>
    <col min="771" max="771" width="11.42578125" style="1" customWidth="1"/>
    <col min="772" max="1018" width="0" style="1" hidden="1"/>
    <col min="1019" max="1019" width="6.28515625" style="1" customWidth="1"/>
    <col min="1020" max="1020" width="37.140625" style="1" customWidth="1"/>
    <col min="1021" max="1021" width="8.140625" style="1" bestFit="1" customWidth="1"/>
    <col min="1022" max="1022" width="11.42578125" style="1" customWidth="1"/>
    <col min="1023" max="1023" width="11.7109375" style="1" bestFit="1" customWidth="1"/>
    <col min="1024" max="1024" width="14.85546875" style="1" bestFit="1" customWidth="1"/>
    <col min="1025" max="1025" width="13.28515625" style="1" bestFit="1" customWidth="1"/>
    <col min="1026" max="1026" width="5.85546875" style="1" customWidth="1"/>
    <col min="1027" max="1027" width="11.42578125" style="1" customWidth="1"/>
    <col min="1028" max="1274" width="0" style="1" hidden="1"/>
    <col min="1275" max="1275" width="6.28515625" style="1" customWidth="1"/>
    <col min="1276" max="1276" width="37.140625" style="1" customWidth="1"/>
    <col min="1277" max="1277" width="8.140625" style="1" bestFit="1" customWidth="1"/>
    <col min="1278" max="1278" width="11.42578125" style="1" customWidth="1"/>
    <col min="1279" max="1279" width="11.7109375" style="1" bestFit="1" customWidth="1"/>
    <col min="1280" max="1280" width="14.85546875" style="1" bestFit="1" customWidth="1"/>
    <col min="1281" max="1281" width="13.28515625" style="1" bestFit="1" customWidth="1"/>
    <col min="1282" max="1282" width="5.85546875" style="1" customWidth="1"/>
    <col min="1283" max="1283" width="11.42578125" style="1" customWidth="1"/>
    <col min="1284" max="1530" width="0" style="1" hidden="1"/>
    <col min="1531" max="1531" width="6.28515625" style="1" customWidth="1"/>
    <col min="1532" max="1532" width="37.140625" style="1" customWidth="1"/>
    <col min="1533" max="1533" width="8.140625" style="1" bestFit="1" customWidth="1"/>
    <col min="1534" max="1534" width="11.42578125" style="1" customWidth="1"/>
    <col min="1535" max="1535" width="11.7109375" style="1" bestFit="1" customWidth="1"/>
    <col min="1536" max="1536" width="14.85546875" style="1" bestFit="1" customWidth="1"/>
    <col min="1537" max="1537" width="13.28515625" style="1" bestFit="1" customWidth="1"/>
    <col min="1538" max="1538" width="5.85546875" style="1" customWidth="1"/>
    <col min="1539" max="1539" width="11.42578125" style="1" customWidth="1"/>
    <col min="1540" max="1786" width="0" style="1" hidden="1"/>
    <col min="1787" max="1787" width="6.28515625" style="1" customWidth="1"/>
    <col min="1788" max="1788" width="37.140625" style="1" customWidth="1"/>
    <col min="1789" max="1789" width="8.140625" style="1" bestFit="1" customWidth="1"/>
    <col min="1790" max="1790" width="11.42578125" style="1" customWidth="1"/>
    <col min="1791" max="1791" width="11.7109375" style="1" bestFit="1" customWidth="1"/>
    <col min="1792" max="1792" width="14.85546875" style="1" bestFit="1" customWidth="1"/>
    <col min="1793" max="1793" width="13.28515625" style="1" bestFit="1" customWidth="1"/>
    <col min="1794" max="1794" width="5.85546875" style="1" customWidth="1"/>
    <col min="1795" max="1795" width="11.42578125" style="1" customWidth="1"/>
    <col min="1796" max="2042" width="0" style="1" hidden="1"/>
    <col min="2043" max="2043" width="6.28515625" style="1" customWidth="1"/>
    <col min="2044" max="2044" width="37.140625" style="1" customWidth="1"/>
    <col min="2045" max="2045" width="8.140625" style="1" bestFit="1" customWidth="1"/>
    <col min="2046" max="2046" width="11.42578125" style="1" customWidth="1"/>
    <col min="2047" max="2047" width="11.7109375" style="1" bestFit="1" customWidth="1"/>
    <col min="2048" max="2048" width="14.85546875" style="1" bestFit="1" customWidth="1"/>
    <col min="2049" max="2049" width="13.28515625" style="1" bestFit="1" customWidth="1"/>
    <col min="2050" max="2050" width="5.85546875" style="1" customWidth="1"/>
    <col min="2051" max="2051" width="11.42578125" style="1" customWidth="1"/>
    <col min="2052" max="2298" width="0" style="1" hidden="1"/>
    <col min="2299" max="2299" width="6.28515625" style="1" customWidth="1"/>
    <col min="2300" max="2300" width="37.140625" style="1" customWidth="1"/>
    <col min="2301" max="2301" width="8.140625" style="1" bestFit="1" customWidth="1"/>
    <col min="2302" max="2302" width="11.42578125" style="1" customWidth="1"/>
    <col min="2303" max="2303" width="11.7109375" style="1" bestFit="1" customWidth="1"/>
    <col min="2304" max="2304" width="14.85546875" style="1" bestFit="1" customWidth="1"/>
    <col min="2305" max="2305" width="13.28515625" style="1" bestFit="1" customWidth="1"/>
    <col min="2306" max="2306" width="5.85546875" style="1" customWidth="1"/>
    <col min="2307" max="2307" width="11.42578125" style="1" customWidth="1"/>
    <col min="2308" max="2554" width="0" style="1" hidden="1"/>
    <col min="2555" max="2555" width="6.28515625" style="1" customWidth="1"/>
    <col min="2556" max="2556" width="37.140625" style="1" customWidth="1"/>
    <col min="2557" max="2557" width="8.140625" style="1" bestFit="1" customWidth="1"/>
    <col min="2558" max="2558" width="11.42578125" style="1" customWidth="1"/>
    <col min="2559" max="2559" width="11.7109375" style="1" bestFit="1" customWidth="1"/>
    <col min="2560" max="2560" width="14.85546875" style="1" bestFit="1" customWidth="1"/>
    <col min="2561" max="2561" width="13.28515625" style="1" bestFit="1" customWidth="1"/>
    <col min="2562" max="2562" width="5.85546875" style="1" customWidth="1"/>
    <col min="2563" max="2563" width="11.42578125" style="1" customWidth="1"/>
    <col min="2564" max="2810" width="0" style="1" hidden="1"/>
    <col min="2811" max="2811" width="6.28515625" style="1" customWidth="1"/>
    <col min="2812" max="2812" width="37.140625" style="1" customWidth="1"/>
    <col min="2813" max="2813" width="8.140625" style="1" bestFit="1" customWidth="1"/>
    <col min="2814" max="2814" width="11.42578125" style="1" customWidth="1"/>
    <col min="2815" max="2815" width="11.7109375" style="1" bestFit="1" customWidth="1"/>
    <col min="2816" max="2816" width="14.85546875" style="1" bestFit="1" customWidth="1"/>
    <col min="2817" max="2817" width="13.28515625" style="1" bestFit="1" customWidth="1"/>
    <col min="2818" max="2818" width="5.85546875" style="1" customWidth="1"/>
    <col min="2819" max="2819" width="11.42578125" style="1" customWidth="1"/>
    <col min="2820" max="3066" width="0" style="1" hidden="1"/>
    <col min="3067" max="3067" width="6.28515625" style="1" customWidth="1"/>
    <col min="3068" max="3068" width="37.140625" style="1" customWidth="1"/>
    <col min="3069" max="3069" width="8.140625" style="1" bestFit="1" customWidth="1"/>
    <col min="3070" max="3070" width="11.42578125" style="1" customWidth="1"/>
    <col min="3071" max="3071" width="11.7109375" style="1" bestFit="1" customWidth="1"/>
    <col min="3072" max="3072" width="14.85546875" style="1" bestFit="1" customWidth="1"/>
    <col min="3073" max="3073" width="13.28515625" style="1" bestFit="1" customWidth="1"/>
    <col min="3074" max="3074" width="5.85546875" style="1" customWidth="1"/>
    <col min="3075" max="3075" width="11.42578125" style="1" customWidth="1"/>
    <col min="3076" max="3322" width="0" style="1" hidden="1"/>
    <col min="3323" max="3323" width="6.28515625" style="1" customWidth="1"/>
    <col min="3324" max="3324" width="37.140625" style="1" customWidth="1"/>
    <col min="3325" max="3325" width="8.140625" style="1" bestFit="1" customWidth="1"/>
    <col min="3326" max="3326" width="11.42578125" style="1" customWidth="1"/>
    <col min="3327" max="3327" width="11.7109375" style="1" bestFit="1" customWidth="1"/>
    <col min="3328" max="3328" width="14.85546875" style="1" bestFit="1" customWidth="1"/>
    <col min="3329" max="3329" width="13.28515625" style="1" bestFit="1" customWidth="1"/>
    <col min="3330" max="3330" width="5.85546875" style="1" customWidth="1"/>
    <col min="3331" max="3331" width="11.42578125" style="1" customWidth="1"/>
    <col min="3332" max="3578" width="0" style="1" hidden="1"/>
    <col min="3579" max="3579" width="6.28515625" style="1" customWidth="1"/>
    <col min="3580" max="3580" width="37.140625" style="1" customWidth="1"/>
    <col min="3581" max="3581" width="8.140625" style="1" bestFit="1" customWidth="1"/>
    <col min="3582" max="3582" width="11.42578125" style="1" customWidth="1"/>
    <col min="3583" max="3583" width="11.7109375" style="1" bestFit="1" customWidth="1"/>
    <col min="3584" max="3584" width="14.85546875" style="1" bestFit="1" customWidth="1"/>
    <col min="3585" max="3585" width="13.28515625" style="1" bestFit="1" customWidth="1"/>
    <col min="3586" max="3586" width="5.85546875" style="1" customWidth="1"/>
    <col min="3587" max="3587" width="11.42578125" style="1" customWidth="1"/>
    <col min="3588" max="3834" width="0" style="1" hidden="1"/>
    <col min="3835" max="3835" width="6.28515625" style="1" customWidth="1"/>
    <col min="3836" max="3836" width="37.140625" style="1" customWidth="1"/>
    <col min="3837" max="3837" width="8.140625" style="1" bestFit="1" customWidth="1"/>
    <col min="3838" max="3838" width="11.42578125" style="1" customWidth="1"/>
    <col min="3839" max="3839" width="11.7109375" style="1" bestFit="1" customWidth="1"/>
    <col min="3840" max="3840" width="14.85546875" style="1" bestFit="1" customWidth="1"/>
    <col min="3841" max="3841" width="13.28515625" style="1" bestFit="1" customWidth="1"/>
    <col min="3842" max="3842" width="5.85546875" style="1" customWidth="1"/>
    <col min="3843" max="3843" width="11.42578125" style="1" customWidth="1"/>
    <col min="3844" max="4090" width="0" style="1" hidden="1"/>
    <col min="4091" max="4091" width="6.28515625" style="1" customWidth="1"/>
    <col min="4092" max="4092" width="37.140625" style="1" customWidth="1"/>
    <col min="4093" max="4093" width="8.140625" style="1" bestFit="1" customWidth="1"/>
    <col min="4094" max="4094" width="11.42578125" style="1" customWidth="1"/>
    <col min="4095" max="4095" width="11.7109375" style="1" bestFit="1" customWidth="1"/>
    <col min="4096" max="4096" width="14.85546875" style="1" bestFit="1" customWidth="1"/>
    <col min="4097" max="4097" width="13.28515625" style="1" bestFit="1" customWidth="1"/>
    <col min="4098" max="4098" width="5.85546875" style="1" customWidth="1"/>
    <col min="4099" max="4099" width="11.42578125" style="1" customWidth="1"/>
    <col min="4100" max="4346" width="0" style="1" hidden="1"/>
    <col min="4347" max="4347" width="6.28515625" style="1" customWidth="1"/>
    <col min="4348" max="4348" width="37.140625" style="1" customWidth="1"/>
    <col min="4349" max="4349" width="8.140625" style="1" bestFit="1" customWidth="1"/>
    <col min="4350" max="4350" width="11.42578125" style="1" customWidth="1"/>
    <col min="4351" max="4351" width="11.7109375" style="1" bestFit="1" customWidth="1"/>
    <col min="4352" max="4352" width="14.85546875" style="1" bestFit="1" customWidth="1"/>
    <col min="4353" max="4353" width="13.28515625" style="1" bestFit="1" customWidth="1"/>
    <col min="4354" max="4354" width="5.85546875" style="1" customWidth="1"/>
    <col min="4355" max="4355" width="11.42578125" style="1" customWidth="1"/>
    <col min="4356" max="4602" width="0" style="1" hidden="1"/>
    <col min="4603" max="4603" width="6.28515625" style="1" customWidth="1"/>
    <col min="4604" max="4604" width="37.140625" style="1" customWidth="1"/>
    <col min="4605" max="4605" width="8.140625" style="1" bestFit="1" customWidth="1"/>
    <col min="4606" max="4606" width="11.42578125" style="1" customWidth="1"/>
    <col min="4607" max="4607" width="11.7109375" style="1" bestFit="1" customWidth="1"/>
    <col min="4608" max="4608" width="14.85546875" style="1" bestFit="1" customWidth="1"/>
    <col min="4609" max="4609" width="13.28515625" style="1" bestFit="1" customWidth="1"/>
    <col min="4610" max="4610" width="5.85546875" style="1" customWidth="1"/>
    <col min="4611" max="4611" width="11.42578125" style="1" customWidth="1"/>
    <col min="4612" max="4858" width="0" style="1" hidden="1"/>
    <col min="4859" max="4859" width="6.28515625" style="1" customWidth="1"/>
    <col min="4860" max="4860" width="37.140625" style="1" customWidth="1"/>
    <col min="4861" max="4861" width="8.140625" style="1" bestFit="1" customWidth="1"/>
    <col min="4862" max="4862" width="11.42578125" style="1" customWidth="1"/>
    <col min="4863" max="4863" width="11.7109375" style="1" bestFit="1" customWidth="1"/>
    <col min="4864" max="4864" width="14.85546875" style="1" bestFit="1" customWidth="1"/>
    <col min="4865" max="4865" width="13.28515625" style="1" bestFit="1" customWidth="1"/>
    <col min="4866" max="4866" width="5.85546875" style="1" customWidth="1"/>
    <col min="4867" max="4867" width="11.42578125" style="1" customWidth="1"/>
    <col min="4868" max="5114" width="0" style="1" hidden="1"/>
    <col min="5115" max="5115" width="6.28515625" style="1" customWidth="1"/>
    <col min="5116" max="5116" width="37.140625" style="1" customWidth="1"/>
    <col min="5117" max="5117" width="8.140625" style="1" bestFit="1" customWidth="1"/>
    <col min="5118" max="5118" width="11.42578125" style="1" customWidth="1"/>
    <col min="5119" max="5119" width="11.7109375" style="1" bestFit="1" customWidth="1"/>
    <col min="5120" max="5120" width="14.85546875" style="1" bestFit="1" customWidth="1"/>
    <col min="5121" max="5121" width="13.28515625" style="1" bestFit="1" customWidth="1"/>
    <col min="5122" max="5122" width="5.85546875" style="1" customWidth="1"/>
    <col min="5123" max="5123" width="11.42578125" style="1" customWidth="1"/>
    <col min="5124" max="5370" width="0" style="1" hidden="1"/>
    <col min="5371" max="5371" width="6.28515625" style="1" customWidth="1"/>
    <col min="5372" max="5372" width="37.140625" style="1" customWidth="1"/>
    <col min="5373" max="5373" width="8.140625" style="1" bestFit="1" customWidth="1"/>
    <col min="5374" max="5374" width="11.42578125" style="1" customWidth="1"/>
    <col min="5375" max="5375" width="11.7109375" style="1" bestFit="1" customWidth="1"/>
    <col min="5376" max="5376" width="14.85546875" style="1" bestFit="1" customWidth="1"/>
    <col min="5377" max="5377" width="13.28515625" style="1" bestFit="1" customWidth="1"/>
    <col min="5378" max="5378" width="5.85546875" style="1" customWidth="1"/>
    <col min="5379" max="5379" width="11.42578125" style="1" customWidth="1"/>
    <col min="5380" max="5626" width="0" style="1" hidden="1"/>
    <col min="5627" max="5627" width="6.28515625" style="1" customWidth="1"/>
    <col min="5628" max="5628" width="37.140625" style="1" customWidth="1"/>
    <col min="5629" max="5629" width="8.140625" style="1" bestFit="1" customWidth="1"/>
    <col min="5630" max="5630" width="11.42578125" style="1" customWidth="1"/>
    <col min="5631" max="5631" width="11.7109375" style="1" bestFit="1" customWidth="1"/>
    <col min="5632" max="5632" width="14.85546875" style="1" bestFit="1" customWidth="1"/>
    <col min="5633" max="5633" width="13.28515625" style="1" bestFit="1" customWidth="1"/>
    <col min="5634" max="5634" width="5.85546875" style="1" customWidth="1"/>
    <col min="5635" max="5635" width="11.42578125" style="1" customWidth="1"/>
    <col min="5636" max="5882" width="0" style="1" hidden="1"/>
    <col min="5883" max="5883" width="6.28515625" style="1" customWidth="1"/>
    <col min="5884" max="5884" width="37.140625" style="1" customWidth="1"/>
    <col min="5885" max="5885" width="8.140625" style="1" bestFit="1" customWidth="1"/>
    <col min="5886" max="5886" width="11.42578125" style="1" customWidth="1"/>
    <col min="5887" max="5887" width="11.7109375" style="1" bestFit="1" customWidth="1"/>
    <col min="5888" max="5888" width="14.85546875" style="1" bestFit="1" customWidth="1"/>
    <col min="5889" max="5889" width="13.28515625" style="1" bestFit="1" customWidth="1"/>
    <col min="5890" max="5890" width="5.85546875" style="1" customWidth="1"/>
    <col min="5891" max="5891" width="11.42578125" style="1" customWidth="1"/>
    <col min="5892" max="6138" width="0" style="1" hidden="1"/>
    <col min="6139" max="6139" width="6.28515625" style="1" customWidth="1"/>
    <col min="6140" max="6140" width="37.140625" style="1" customWidth="1"/>
    <col min="6141" max="6141" width="8.140625" style="1" bestFit="1" customWidth="1"/>
    <col min="6142" max="6142" width="11.42578125" style="1" customWidth="1"/>
    <col min="6143" max="6143" width="11.7109375" style="1" bestFit="1" customWidth="1"/>
    <col min="6144" max="6144" width="14.85546875" style="1" bestFit="1" customWidth="1"/>
    <col min="6145" max="6145" width="13.28515625" style="1" bestFit="1" customWidth="1"/>
    <col min="6146" max="6146" width="5.85546875" style="1" customWidth="1"/>
    <col min="6147" max="6147" width="11.42578125" style="1" customWidth="1"/>
    <col min="6148" max="6394" width="0" style="1" hidden="1"/>
    <col min="6395" max="6395" width="6.28515625" style="1" customWidth="1"/>
    <col min="6396" max="6396" width="37.140625" style="1" customWidth="1"/>
    <col min="6397" max="6397" width="8.140625" style="1" bestFit="1" customWidth="1"/>
    <col min="6398" max="6398" width="11.42578125" style="1" customWidth="1"/>
    <col min="6399" max="6399" width="11.7109375" style="1" bestFit="1" customWidth="1"/>
    <col min="6400" max="6400" width="14.85546875" style="1" bestFit="1" customWidth="1"/>
    <col min="6401" max="6401" width="13.28515625" style="1" bestFit="1" customWidth="1"/>
    <col min="6402" max="6402" width="5.85546875" style="1" customWidth="1"/>
    <col min="6403" max="6403" width="11.42578125" style="1" customWidth="1"/>
    <col min="6404" max="6650" width="0" style="1" hidden="1"/>
    <col min="6651" max="6651" width="6.28515625" style="1" customWidth="1"/>
    <col min="6652" max="6652" width="37.140625" style="1" customWidth="1"/>
    <col min="6653" max="6653" width="8.140625" style="1" bestFit="1" customWidth="1"/>
    <col min="6654" max="6654" width="11.42578125" style="1" customWidth="1"/>
    <col min="6655" max="6655" width="11.7109375" style="1" bestFit="1" customWidth="1"/>
    <col min="6656" max="6656" width="14.85546875" style="1" bestFit="1" customWidth="1"/>
    <col min="6657" max="6657" width="13.28515625" style="1" bestFit="1" customWidth="1"/>
    <col min="6658" max="6658" width="5.85546875" style="1" customWidth="1"/>
    <col min="6659" max="6659" width="11.42578125" style="1" customWidth="1"/>
    <col min="6660" max="6906" width="0" style="1" hidden="1"/>
    <col min="6907" max="6907" width="6.28515625" style="1" customWidth="1"/>
    <col min="6908" max="6908" width="37.140625" style="1" customWidth="1"/>
    <col min="6909" max="6909" width="8.140625" style="1" bestFit="1" customWidth="1"/>
    <col min="6910" max="6910" width="11.42578125" style="1" customWidth="1"/>
    <col min="6911" max="6911" width="11.7109375" style="1" bestFit="1" customWidth="1"/>
    <col min="6912" max="6912" width="14.85546875" style="1" bestFit="1" customWidth="1"/>
    <col min="6913" max="6913" width="13.28515625" style="1" bestFit="1" customWidth="1"/>
    <col min="6914" max="6914" width="5.85546875" style="1" customWidth="1"/>
    <col min="6915" max="6915" width="11.42578125" style="1" customWidth="1"/>
    <col min="6916" max="7162" width="0" style="1" hidden="1"/>
    <col min="7163" max="7163" width="6.28515625" style="1" customWidth="1"/>
    <col min="7164" max="7164" width="37.140625" style="1" customWidth="1"/>
    <col min="7165" max="7165" width="8.140625" style="1" bestFit="1" customWidth="1"/>
    <col min="7166" max="7166" width="11.42578125" style="1" customWidth="1"/>
    <col min="7167" max="7167" width="11.7109375" style="1" bestFit="1" customWidth="1"/>
    <col min="7168" max="7168" width="14.85546875" style="1" bestFit="1" customWidth="1"/>
    <col min="7169" max="7169" width="13.28515625" style="1" bestFit="1" customWidth="1"/>
    <col min="7170" max="7170" width="5.85546875" style="1" customWidth="1"/>
    <col min="7171" max="7171" width="11.42578125" style="1" customWidth="1"/>
    <col min="7172" max="7418" width="0" style="1" hidden="1"/>
    <col min="7419" max="7419" width="6.28515625" style="1" customWidth="1"/>
    <col min="7420" max="7420" width="37.140625" style="1" customWidth="1"/>
    <col min="7421" max="7421" width="8.140625" style="1" bestFit="1" customWidth="1"/>
    <col min="7422" max="7422" width="11.42578125" style="1" customWidth="1"/>
    <col min="7423" max="7423" width="11.7109375" style="1" bestFit="1" customWidth="1"/>
    <col min="7424" max="7424" width="14.85546875" style="1" bestFit="1" customWidth="1"/>
    <col min="7425" max="7425" width="13.28515625" style="1" bestFit="1" customWidth="1"/>
    <col min="7426" max="7426" width="5.85546875" style="1" customWidth="1"/>
    <col min="7427" max="7427" width="11.42578125" style="1" customWidth="1"/>
    <col min="7428" max="7674" width="0" style="1" hidden="1"/>
    <col min="7675" max="7675" width="6.28515625" style="1" customWidth="1"/>
    <col min="7676" max="7676" width="37.140625" style="1" customWidth="1"/>
    <col min="7677" max="7677" width="8.140625" style="1" bestFit="1" customWidth="1"/>
    <col min="7678" max="7678" width="11.42578125" style="1" customWidth="1"/>
    <col min="7679" max="7679" width="11.7109375" style="1" bestFit="1" customWidth="1"/>
    <col min="7680" max="7680" width="14.85546875" style="1" bestFit="1" customWidth="1"/>
    <col min="7681" max="7681" width="13.28515625" style="1" bestFit="1" customWidth="1"/>
    <col min="7682" max="7682" width="5.85546875" style="1" customWidth="1"/>
    <col min="7683" max="7683" width="11.42578125" style="1" customWidth="1"/>
    <col min="7684" max="7930" width="0" style="1" hidden="1"/>
    <col min="7931" max="7931" width="6.28515625" style="1" customWidth="1"/>
    <col min="7932" max="7932" width="37.140625" style="1" customWidth="1"/>
    <col min="7933" max="7933" width="8.140625" style="1" bestFit="1" customWidth="1"/>
    <col min="7934" max="7934" width="11.42578125" style="1" customWidth="1"/>
    <col min="7935" max="7935" width="11.7109375" style="1" bestFit="1" customWidth="1"/>
    <col min="7936" max="7936" width="14.85546875" style="1" bestFit="1" customWidth="1"/>
    <col min="7937" max="7937" width="13.28515625" style="1" bestFit="1" customWidth="1"/>
    <col min="7938" max="7938" width="5.85546875" style="1" customWidth="1"/>
    <col min="7939" max="7939" width="11.42578125" style="1" customWidth="1"/>
    <col min="7940" max="8186" width="0" style="1" hidden="1"/>
    <col min="8187" max="8187" width="6.28515625" style="1" customWidth="1"/>
    <col min="8188" max="8188" width="37.140625" style="1" customWidth="1"/>
    <col min="8189" max="8189" width="8.140625" style="1" bestFit="1" customWidth="1"/>
    <col min="8190" max="8190" width="11.42578125" style="1" customWidth="1"/>
    <col min="8191" max="8191" width="11.7109375" style="1" bestFit="1" customWidth="1"/>
    <col min="8192" max="8192" width="14.85546875" style="1" bestFit="1" customWidth="1"/>
    <col min="8193" max="8193" width="13.28515625" style="1" bestFit="1" customWidth="1"/>
    <col min="8194" max="8194" width="5.85546875" style="1" customWidth="1"/>
    <col min="8195" max="8195" width="11.42578125" style="1" customWidth="1"/>
    <col min="8196" max="8442" width="0" style="1" hidden="1"/>
    <col min="8443" max="8443" width="6.28515625" style="1" customWidth="1"/>
    <col min="8444" max="8444" width="37.140625" style="1" customWidth="1"/>
    <col min="8445" max="8445" width="8.140625" style="1" bestFit="1" customWidth="1"/>
    <col min="8446" max="8446" width="11.42578125" style="1" customWidth="1"/>
    <col min="8447" max="8447" width="11.7109375" style="1" bestFit="1" customWidth="1"/>
    <col min="8448" max="8448" width="14.85546875" style="1" bestFit="1" customWidth="1"/>
    <col min="8449" max="8449" width="13.28515625" style="1" bestFit="1" customWidth="1"/>
    <col min="8450" max="8450" width="5.85546875" style="1" customWidth="1"/>
    <col min="8451" max="8451" width="11.42578125" style="1" customWidth="1"/>
    <col min="8452" max="8698" width="0" style="1" hidden="1"/>
    <col min="8699" max="8699" width="6.28515625" style="1" customWidth="1"/>
    <col min="8700" max="8700" width="37.140625" style="1" customWidth="1"/>
    <col min="8701" max="8701" width="8.140625" style="1" bestFit="1" customWidth="1"/>
    <col min="8702" max="8702" width="11.42578125" style="1" customWidth="1"/>
    <col min="8703" max="8703" width="11.7109375" style="1" bestFit="1" customWidth="1"/>
    <col min="8704" max="8704" width="14.85546875" style="1" bestFit="1" customWidth="1"/>
    <col min="8705" max="8705" width="13.28515625" style="1" bestFit="1" customWidth="1"/>
    <col min="8706" max="8706" width="5.85546875" style="1" customWidth="1"/>
    <col min="8707" max="8707" width="11.42578125" style="1" customWidth="1"/>
    <col min="8708" max="8954" width="0" style="1" hidden="1"/>
    <col min="8955" max="8955" width="6.28515625" style="1" customWidth="1"/>
    <col min="8956" max="8956" width="37.140625" style="1" customWidth="1"/>
    <col min="8957" max="8957" width="8.140625" style="1" bestFit="1" customWidth="1"/>
    <col min="8958" max="8958" width="11.42578125" style="1" customWidth="1"/>
    <col min="8959" max="8959" width="11.7109375" style="1" bestFit="1" customWidth="1"/>
    <col min="8960" max="8960" width="14.85546875" style="1" bestFit="1" customWidth="1"/>
    <col min="8961" max="8961" width="13.28515625" style="1" bestFit="1" customWidth="1"/>
    <col min="8962" max="8962" width="5.85546875" style="1" customWidth="1"/>
    <col min="8963" max="8963" width="11.42578125" style="1" customWidth="1"/>
    <col min="8964" max="9210" width="0" style="1" hidden="1"/>
    <col min="9211" max="9211" width="6.28515625" style="1" customWidth="1"/>
    <col min="9212" max="9212" width="37.140625" style="1" customWidth="1"/>
    <col min="9213" max="9213" width="8.140625" style="1" bestFit="1" customWidth="1"/>
    <col min="9214" max="9214" width="11.42578125" style="1" customWidth="1"/>
    <col min="9215" max="9215" width="11.7109375" style="1" bestFit="1" customWidth="1"/>
    <col min="9216" max="9216" width="14.85546875" style="1" bestFit="1" customWidth="1"/>
    <col min="9217" max="9217" width="13.28515625" style="1" bestFit="1" customWidth="1"/>
    <col min="9218" max="9218" width="5.85546875" style="1" customWidth="1"/>
    <col min="9219" max="9219" width="11.42578125" style="1" customWidth="1"/>
    <col min="9220" max="9466" width="0" style="1" hidden="1"/>
    <col min="9467" max="9467" width="6.28515625" style="1" customWidth="1"/>
    <col min="9468" max="9468" width="37.140625" style="1" customWidth="1"/>
    <col min="9469" max="9469" width="8.140625" style="1" bestFit="1" customWidth="1"/>
    <col min="9470" max="9470" width="11.42578125" style="1" customWidth="1"/>
    <col min="9471" max="9471" width="11.7109375" style="1" bestFit="1" customWidth="1"/>
    <col min="9472" max="9472" width="14.85546875" style="1" bestFit="1" customWidth="1"/>
    <col min="9473" max="9473" width="13.28515625" style="1" bestFit="1" customWidth="1"/>
    <col min="9474" max="9474" width="5.85546875" style="1" customWidth="1"/>
    <col min="9475" max="9475" width="11.42578125" style="1" customWidth="1"/>
    <col min="9476" max="9722" width="0" style="1" hidden="1"/>
    <col min="9723" max="9723" width="6.28515625" style="1" customWidth="1"/>
    <col min="9724" max="9724" width="37.140625" style="1" customWidth="1"/>
    <col min="9725" max="9725" width="8.140625" style="1" bestFit="1" customWidth="1"/>
    <col min="9726" max="9726" width="11.42578125" style="1" customWidth="1"/>
    <col min="9727" max="9727" width="11.7109375" style="1" bestFit="1" customWidth="1"/>
    <col min="9728" max="9728" width="14.85546875" style="1" bestFit="1" customWidth="1"/>
    <col min="9729" max="9729" width="13.28515625" style="1" bestFit="1" customWidth="1"/>
    <col min="9730" max="9730" width="5.85546875" style="1" customWidth="1"/>
    <col min="9731" max="9731" width="11.42578125" style="1" customWidth="1"/>
    <col min="9732" max="9978" width="0" style="1" hidden="1"/>
    <col min="9979" max="9979" width="6.28515625" style="1" customWidth="1"/>
    <col min="9980" max="9980" width="37.140625" style="1" customWidth="1"/>
    <col min="9981" max="9981" width="8.140625" style="1" bestFit="1" customWidth="1"/>
    <col min="9982" max="9982" width="11.42578125" style="1" customWidth="1"/>
    <col min="9983" max="9983" width="11.7109375" style="1" bestFit="1" customWidth="1"/>
    <col min="9984" max="9984" width="14.85546875" style="1" bestFit="1" customWidth="1"/>
    <col min="9985" max="9985" width="13.28515625" style="1" bestFit="1" customWidth="1"/>
    <col min="9986" max="9986" width="5.85546875" style="1" customWidth="1"/>
    <col min="9987" max="9987" width="11.42578125" style="1" customWidth="1"/>
    <col min="9988" max="10234" width="0" style="1" hidden="1"/>
    <col min="10235" max="10235" width="6.28515625" style="1" customWidth="1"/>
    <col min="10236" max="10236" width="37.140625" style="1" customWidth="1"/>
    <col min="10237" max="10237" width="8.140625" style="1" bestFit="1" customWidth="1"/>
    <col min="10238" max="10238" width="11.42578125" style="1" customWidth="1"/>
    <col min="10239" max="10239" width="11.7109375" style="1" bestFit="1" customWidth="1"/>
    <col min="10240" max="10240" width="14.85546875" style="1" bestFit="1" customWidth="1"/>
    <col min="10241" max="10241" width="13.28515625" style="1" bestFit="1" customWidth="1"/>
    <col min="10242" max="10242" width="5.85546875" style="1" customWidth="1"/>
    <col min="10243" max="10243" width="11.42578125" style="1" customWidth="1"/>
    <col min="10244" max="10490" width="0" style="1" hidden="1"/>
    <col min="10491" max="10491" width="6.28515625" style="1" customWidth="1"/>
    <col min="10492" max="10492" width="37.140625" style="1" customWidth="1"/>
    <col min="10493" max="10493" width="8.140625" style="1" bestFit="1" customWidth="1"/>
    <col min="10494" max="10494" width="11.42578125" style="1" customWidth="1"/>
    <col min="10495" max="10495" width="11.7109375" style="1" bestFit="1" customWidth="1"/>
    <col min="10496" max="10496" width="14.85546875" style="1" bestFit="1" customWidth="1"/>
    <col min="10497" max="10497" width="13.28515625" style="1" bestFit="1" customWidth="1"/>
    <col min="10498" max="10498" width="5.85546875" style="1" customWidth="1"/>
    <col min="10499" max="10499" width="11.42578125" style="1" customWidth="1"/>
    <col min="10500" max="10746" width="0" style="1" hidden="1"/>
    <col min="10747" max="10747" width="6.28515625" style="1" customWidth="1"/>
    <col min="10748" max="10748" width="37.140625" style="1" customWidth="1"/>
    <col min="10749" max="10749" width="8.140625" style="1" bestFit="1" customWidth="1"/>
    <col min="10750" max="10750" width="11.42578125" style="1" customWidth="1"/>
    <col min="10751" max="10751" width="11.7109375" style="1" bestFit="1" customWidth="1"/>
    <col min="10752" max="10752" width="14.85546875" style="1" bestFit="1" customWidth="1"/>
    <col min="10753" max="10753" width="13.28515625" style="1" bestFit="1" customWidth="1"/>
    <col min="10754" max="10754" width="5.85546875" style="1" customWidth="1"/>
    <col min="10755" max="10755" width="11.42578125" style="1" customWidth="1"/>
    <col min="10756" max="11002" width="0" style="1" hidden="1"/>
    <col min="11003" max="11003" width="6.28515625" style="1" customWidth="1"/>
    <col min="11004" max="11004" width="37.140625" style="1" customWidth="1"/>
    <col min="11005" max="11005" width="8.140625" style="1" bestFit="1" customWidth="1"/>
    <col min="11006" max="11006" width="11.42578125" style="1" customWidth="1"/>
    <col min="11007" max="11007" width="11.7109375" style="1" bestFit="1" customWidth="1"/>
    <col min="11008" max="11008" width="14.85546875" style="1" bestFit="1" customWidth="1"/>
    <col min="11009" max="11009" width="13.28515625" style="1" bestFit="1" customWidth="1"/>
    <col min="11010" max="11010" width="5.85546875" style="1" customWidth="1"/>
    <col min="11011" max="11011" width="11.42578125" style="1" customWidth="1"/>
    <col min="11012" max="11258" width="0" style="1" hidden="1"/>
    <col min="11259" max="11259" width="6.28515625" style="1" customWidth="1"/>
    <col min="11260" max="11260" width="37.140625" style="1" customWidth="1"/>
    <col min="11261" max="11261" width="8.140625" style="1" bestFit="1" customWidth="1"/>
    <col min="11262" max="11262" width="11.42578125" style="1" customWidth="1"/>
    <col min="11263" max="11263" width="11.7109375" style="1" bestFit="1" customWidth="1"/>
    <col min="11264" max="11264" width="14.85546875" style="1" bestFit="1" customWidth="1"/>
    <col min="11265" max="11265" width="13.28515625" style="1" bestFit="1" customWidth="1"/>
    <col min="11266" max="11266" width="5.85546875" style="1" customWidth="1"/>
    <col min="11267" max="11267" width="11.42578125" style="1" customWidth="1"/>
    <col min="11268" max="11514" width="0" style="1" hidden="1"/>
    <col min="11515" max="11515" width="6.28515625" style="1" customWidth="1"/>
    <col min="11516" max="11516" width="37.140625" style="1" customWidth="1"/>
    <col min="11517" max="11517" width="8.140625" style="1" bestFit="1" customWidth="1"/>
    <col min="11518" max="11518" width="11.42578125" style="1" customWidth="1"/>
    <col min="11519" max="11519" width="11.7109375" style="1" bestFit="1" customWidth="1"/>
    <col min="11520" max="11520" width="14.85546875" style="1" bestFit="1" customWidth="1"/>
    <col min="11521" max="11521" width="13.28515625" style="1" bestFit="1" customWidth="1"/>
    <col min="11522" max="11522" width="5.85546875" style="1" customWidth="1"/>
    <col min="11523" max="11523" width="11.42578125" style="1" customWidth="1"/>
    <col min="11524" max="11770" width="0" style="1" hidden="1"/>
    <col min="11771" max="11771" width="6.28515625" style="1" customWidth="1"/>
    <col min="11772" max="11772" width="37.140625" style="1" customWidth="1"/>
    <col min="11773" max="11773" width="8.140625" style="1" bestFit="1" customWidth="1"/>
    <col min="11774" max="11774" width="11.42578125" style="1" customWidth="1"/>
    <col min="11775" max="11775" width="11.7109375" style="1" bestFit="1" customWidth="1"/>
    <col min="11776" max="11776" width="14.85546875" style="1" bestFit="1" customWidth="1"/>
    <col min="11777" max="11777" width="13.28515625" style="1" bestFit="1" customWidth="1"/>
    <col min="11778" max="11778" width="5.85546875" style="1" customWidth="1"/>
    <col min="11779" max="11779" width="11.42578125" style="1" customWidth="1"/>
    <col min="11780" max="12026" width="0" style="1" hidden="1"/>
    <col min="12027" max="12027" width="6.28515625" style="1" customWidth="1"/>
    <col min="12028" max="12028" width="37.140625" style="1" customWidth="1"/>
    <col min="12029" max="12029" width="8.140625" style="1" bestFit="1" customWidth="1"/>
    <col min="12030" max="12030" width="11.42578125" style="1" customWidth="1"/>
    <col min="12031" max="12031" width="11.7109375" style="1" bestFit="1" customWidth="1"/>
    <col min="12032" max="12032" width="14.85546875" style="1" bestFit="1" customWidth="1"/>
    <col min="12033" max="12033" width="13.28515625" style="1" bestFit="1" customWidth="1"/>
    <col min="12034" max="12034" width="5.85546875" style="1" customWidth="1"/>
    <col min="12035" max="12035" width="11.42578125" style="1" customWidth="1"/>
    <col min="12036" max="12282" width="0" style="1" hidden="1"/>
    <col min="12283" max="12283" width="6.28515625" style="1" customWidth="1"/>
    <col min="12284" max="12284" width="37.140625" style="1" customWidth="1"/>
    <col min="12285" max="12285" width="8.140625" style="1" bestFit="1" customWidth="1"/>
    <col min="12286" max="12286" width="11.42578125" style="1" customWidth="1"/>
    <col min="12287" max="12287" width="11.7109375" style="1" bestFit="1" customWidth="1"/>
    <col min="12288" max="12288" width="14.85546875" style="1" bestFit="1" customWidth="1"/>
    <col min="12289" max="12289" width="13.28515625" style="1" bestFit="1" customWidth="1"/>
    <col min="12290" max="12290" width="5.85546875" style="1" customWidth="1"/>
    <col min="12291" max="12291" width="11.42578125" style="1" customWidth="1"/>
    <col min="12292" max="12538" width="0" style="1" hidden="1"/>
    <col min="12539" max="12539" width="6.28515625" style="1" customWidth="1"/>
    <col min="12540" max="12540" width="37.140625" style="1" customWidth="1"/>
    <col min="12541" max="12541" width="8.140625" style="1" bestFit="1" customWidth="1"/>
    <col min="12542" max="12542" width="11.42578125" style="1" customWidth="1"/>
    <col min="12543" max="12543" width="11.7109375" style="1" bestFit="1" customWidth="1"/>
    <col min="12544" max="12544" width="14.85546875" style="1" bestFit="1" customWidth="1"/>
    <col min="12545" max="12545" width="13.28515625" style="1" bestFit="1" customWidth="1"/>
    <col min="12546" max="12546" width="5.85546875" style="1" customWidth="1"/>
    <col min="12547" max="12547" width="11.42578125" style="1" customWidth="1"/>
    <col min="12548" max="12794" width="0" style="1" hidden="1"/>
    <col min="12795" max="12795" width="6.28515625" style="1" customWidth="1"/>
    <col min="12796" max="12796" width="37.140625" style="1" customWidth="1"/>
    <col min="12797" max="12797" width="8.140625" style="1" bestFit="1" customWidth="1"/>
    <col min="12798" max="12798" width="11.42578125" style="1" customWidth="1"/>
    <col min="12799" max="12799" width="11.7109375" style="1" bestFit="1" customWidth="1"/>
    <col min="12800" max="12800" width="14.85546875" style="1" bestFit="1" customWidth="1"/>
    <col min="12801" max="12801" width="13.28515625" style="1" bestFit="1" customWidth="1"/>
    <col min="12802" max="12802" width="5.85546875" style="1" customWidth="1"/>
    <col min="12803" max="12803" width="11.42578125" style="1" customWidth="1"/>
    <col min="12804" max="13050" width="0" style="1" hidden="1"/>
    <col min="13051" max="13051" width="6.28515625" style="1" customWidth="1"/>
    <col min="13052" max="13052" width="37.140625" style="1" customWidth="1"/>
    <col min="13053" max="13053" width="8.140625" style="1" bestFit="1" customWidth="1"/>
    <col min="13054" max="13054" width="11.42578125" style="1" customWidth="1"/>
    <col min="13055" max="13055" width="11.7109375" style="1" bestFit="1" customWidth="1"/>
    <col min="13056" max="13056" width="14.85546875" style="1" bestFit="1" customWidth="1"/>
    <col min="13057" max="13057" width="13.28515625" style="1" bestFit="1" customWidth="1"/>
    <col min="13058" max="13058" width="5.85546875" style="1" customWidth="1"/>
    <col min="13059" max="13059" width="11.42578125" style="1" customWidth="1"/>
    <col min="13060" max="13306" width="0" style="1" hidden="1"/>
    <col min="13307" max="13307" width="6.28515625" style="1" customWidth="1"/>
    <col min="13308" max="13308" width="37.140625" style="1" customWidth="1"/>
    <col min="13309" max="13309" width="8.140625" style="1" bestFit="1" customWidth="1"/>
    <col min="13310" max="13310" width="11.42578125" style="1" customWidth="1"/>
    <col min="13311" max="13311" width="11.7109375" style="1" bestFit="1" customWidth="1"/>
    <col min="13312" max="13312" width="14.85546875" style="1" bestFit="1" customWidth="1"/>
    <col min="13313" max="13313" width="13.28515625" style="1" bestFit="1" customWidth="1"/>
    <col min="13314" max="13314" width="5.85546875" style="1" customWidth="1"/>
    <col min="13315" max="13315" width="11.42578125" style="1" customWidth="1"/>
    <col min="13316" max="13562" width="0" style="1" hidden="1"/>
    <col min="13563" max="13563" width="6.28515625" style="1" customWidth="1"/>
    <col min="13564" max="13564" width="37.140625" style="1" customWidth="1"/>
    <col min="13565" max="13565" width="8.140625" style="1" bestFit="1" customWidth="1"/>
    <col min="13566" max="13566" width="11.42578125" style="1" customWidth="1"/>
    <col min="13567" max="13567" width="11.7109375" style="1" bestFit="1" customWidth="1"/>
    <col min="13568" max="13568" width="14.85546875" style="1" bestFit="1" customWidth="1"/>
    <col min="13569" max="13569" width="13.28515625" style="1" bestFit="1" customWidth="1"/>
    <col min="13570" max="13570" width="5.85546875" style="1" customWidth="1"/>
    <col min="13571" max="13571" width="11.42578125" style="1" customWidth="1"/>
    <col min="13572" max="13818" width="0" style="1" hidden="1"/>
    <col min="13819" max="13819" width="6.28515625" style="1" customWidth="1"/>
    <col min="13820" max="13820" width="37.140625" style="1" customWidth="1"/>
    <col min="13821" max="13821" width="8.140625" style="1" bestFit="1" customWidth="1"/>
    <col min="13822" max="13822" width="11.42578125" style="1" customWidth="1"/>
    <col min="13823" max="13823" width="11.7109375" style="1" bestFit="1" customWidth="1"/>
    <col min="13824" max="13824" width="14.85546875" style="1" bestFit="1" customWidth="1"/>
    <col min="13825" max="13825" width="13.28515625" style="1" bestFit="1" customWidth="1"/>
    <col min="13826" max="13826" width="5.85546875" style="1" customWidth="1"/>
    <col min="13827" max="13827" width="11.42578125" style="1" customWidth="1"/>
    <col min="13828" max="14074" width="0" style="1" hidden="1"/>
    <col min="14075" max="14075" width="6.28515625" style="1" customWidth="1"/>
    <col min="14076" max="14076" width="37.140625" style="1" customWidth="1"/>
    <col min="14077" max="14077" width="8.140625" style="1" bestFit="1" customWidth="1"/>
    <col min="14078" max="14078" width="11.42578125" style="1" customWidth="1"/>
    <col min="14079" max="14079" width="11.7109375" style="1" bestFit="1" customWidth="1"/>
    <col min="14080" max="14080" width="14.85546875" style="1" bestFit="1" customWidth="1"/>
    <col min="14081" max="14081" width="13.28515625" style="1" bestFit="1" customWidth="1"/>
    <col min="14082" max="14082" width="5.85546875" style="1" customWidth="1"/>
    <col min="14083" max="14083" width="11.42578125" style="1" customWidth="1"/>
    <col min="14084" max="14330" width="0" style="1" hidden="1"/>
    <col min="14331" max="14331" width="6.28515625" style="1" customWidth="1"/>
    <col min="14332" max="14332" width="37.140625" style="1" customWidth="1"/>
    <col min="14333" max="14333" width="8.140625" style="1" bestFit="1" customWidth="1"/>
    <col min="14334" max="14334" width="11.42578125" style="1" customWidth="1"/>
    <col min="14335" max="14335" width="11.7109375" style="1" bestFit="1" customWidth="1"/>
    <col min="14336" max="14336" width="14.85546875" style="1" bestFit="1" customWidth="1"/>
    <col min="14337" max="14337" width="13.28515625" style="1" bestFit="1" customWidth="1"/>
    <col min="14338" max="14338" width="5.85546875" style="1" customWidth="1"/>
    <col min="14339" max="14339" width="11.42578125" style="1" customWidth="1"/>
    <col min="14340" max="14586" width="0" style="1" hidden="1"/>
    <col min="14587" max="14587" width="6.28515625" style="1" customWidth="1"/>
    <col min="14588" max="14588" width="37.140625" style="1" customWidth="1"/>
    <col min="14589" max="14589" width="8.140625" style="1" bestFit="1" customWidth="1"/>
    <col min="14590" max="14590" width="11.42578125" style="1" customWidth="1"/>
    <col min="14591" max="14591" width="11.7109375" style="1" bestFit="1" customWidth="1"/>
    <col min="14592" max="14592" width="14.85546875" style="1" bestFit="1" customWidth="1"/>
    <col min="14593" max="14593" width="13.28515625" style="1" bestFit="1" customWidth="1"/>
    <col min="14594" max="14594" width="5.85546875" style="1" customWidth="1"/>
    <col min="14595" max="14595" width="11.42578125" style="1" customWidth="1"/>
    <col min="14596" max="14842" width="0" style="1" hidden="1"/>
    <col min="14843" max="14843" width="6.28515625" style="1" customWidth="1"/>
    <col min="14844" max="14844" width="37.140625" style="1" customWidth="1"/>
    <col min="14845" max="14845" width="8.140625" style="1" bestFit="1" customWidth="1"/>
    <col min="14846" max="14846" width="11.42578125" style="1" customWidth="1"/>
    <col min="14847" max="14847" width="11.7109375" style="1" bestFit="1" customWidth="1"/>
    <col min="14848" max="14848" width="14.85546875" style="1" bestFit="1" customWidth="1"/>
    <col min="14849" max="14849" width="13.28515625" style="1" bestFit="1" customWidth="1"/>
    <col min="14850" max="14850" width="5.85546875" style="1" customWidth="1"/>
    <col min="14851" max="14851" width="11.42578125" style="1" customWidth="1"/>
    <col min="14852" max="15098" width="0" style="1" hidden="1"/>
    <col min="15099" max="15099" width="6.28515625" style="1" customWidth="1"/>
    <col min="15100" max="15100" width="37.140625" style="1" customWidth="1"/>
    <col min="15101" max="15101" width="8.140625" style="1" bestFit="1" customWidth="1"/>
    <col min="15102" max="15102" width="11.42578125" style="1" customWidth="1"/>
    <col min="15103" max="15103" width="11.7109375" style="1" bestFit="1" customWidth="1"/>
    <col min="15104" max="15104" width="14.85546875" style="1" bestFit="1" customWidth="1"/>
    <col min="15105" max="15105" width="13.28515625" style="1" bestFit="1" customWidth="1"/>
    <col min="15106" max="15106" width="5.85546875" style="1" customWidth="1"/>
    <col min="15107" max="15107" width="11.42578125" style="1" customWidth="1"/>
    <col min="15108" max="15354" width="0" style="1" hidden="1"/>
    <col min="15355" max="15355" width="6.28515625" style="1" customWidth="1"/>
    <col min="15356" max="15356" width="37.140625" style="1" customWidth="1"/>
    <col min="15357" max="15357" width="8.140625" style="1" bestFit="1" customWidth="1"/>
    <col min="15358" max="15358" width="11.42578125" style="1" customWidth="1"/>
    <col min="15359" max="15359" width="11.7109375" style="1" bestFit="1" customWidth="1"/>
    <col min="15360" max="15360" width="14.85546875" style="1" bestFit="1" customWidth="1"/>
    <col min="15361" max="15361" width="13.28515625" style="1" bestFit="1" customWidth="1"/>
    <col min="15362" max="15362" width="5.85546875" style="1" customWidth="1"/>
    <col min="15363" max="15363" width="11.42578125" style="1" customWidth="1"/>
    <col min="15364" max="15610" width="0" style="1" hidden="1"/>
    <col min="15611" max="15611" width="6.28515625" style="1" customWidth="1"/>
    <col min="15612" max="15612" width="37.140625" style="1" customWidth="1"/>
    <col min="15613" max="15613" width="8.140625" style="1" bestFit="1" customWidth="1"/>
    <col min="15614" max="15614" width="11.42578125" style="1" customWidth="1"/>
    <col min="15615" max="15615" width="11.7109375" style="1" bestFit="1" customWidth="1"/>
    <col min="15616" max="15616" width="14.85546875" style="1" bestFit="1" customWidth="1"/>
    <col min="15617" max="15617" width="13.28515625" style="1" bestFit="1" customWidth="1"/>
    <col min="15618" max="15618" width="5.85546875" style="1" customWidth="1"/>
    <col min="15619" max="15619" width="11.42578125" style="1" customWidth="1"/>
    <col min="15620" max="15866" width="0" style="1" hidden="1"/>
    <col min="15867" max="15867" width="6.28515625" style="1" customWidth="1"/>
    <col min="15868" max="15868" width="37.140625" style="1" customWidth="1"/>
    <col min="15869" max="15869" width="8.140625" style="1" bestFit="1" customWidth="1"/>
    <col min="15870" max="15870" width="11.42578125" style="1" customWidth="1"/>
    <col min="15871" max="15871" width="11.7109375" style="1" bestFit="1" customWidth="1"/>
    <col min="15872" max="15872" width="14.85546875" style="1" bestFit="1" customWidth="1"/>
    <col min="15873" max="15873" width="13.28515625" style="1" bestFit="1" customWidth="1"/>
    <col min="15874" max="15874" width="5.85546875" style="1" customWidth="1"/>
    <col min="15875" max="15875" width="11.42578125" style="1" customWidth="1"/>
    <col min="15876" max="16384" width="0" style="1" hidden="1"/>
  </cols>
  <sheetData>
    <row r="1" spans="1:9" ht="15.75" hidden="1" x14ac:dyDescent="0.25">
      <c r="B1" s="2"/>
      <c r="C1" s="3"/>
    </row>
    <row r="2" spans="1:9" ht="20.100000000000001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</row>
    <row r="3" spans="1:9" ht="20.100000000000001" customHeight="1" x14ac:dyDescent="0.25">
      <c r="A3" s="4"/>
      <c r="B3" s="23" t="s">
        <v>141</v>
      </c>
      <c r="C3" s="23"/>
      <c r="D3" s="23"/>
      <c r="E3" s="23"/>
      <c r="F3" s="23"/>
      <c r="G3" s="23"/>
      <c r="H3" s="23"/>
      <c r="I3" s="23"/>
    </row>
    <row r="4" spans="1:9" ht="15.75" hidden="1" x14ac:dyDescent="0.25">
      <c r="A4" s="4"/>
      <c r="B4" s="23"/>
      <c r="C4" s="23"/>
      <c r="D4" s="23"/>
      <c r="E4" s="23"/>
      <c r="F4" s="23"/>
      <c r="G4" s="23"/>
      <c r="H4" s="23"/>
      <c r="I4" s="23"/>
    </row>
    <row r="5" spans="1:9" ht="22.5" customHeight="1" x14ac:dyDescent="0.2">
      <c r="A5" s="4"/>
      <c r="B5" s="22" t="s">
        <v>2</v>
      </c>
      <c r="C5" s="22" t="s">
        <v>3</v>
      </c>
      <c r="D5" s="22" t="s">
        <v>4</v>
      </c>
      <c r="E5" s="22" t="s">
        <v>7</v>
      </c>
      <c r="F5" s="22" t="s">
        <v>8</v>
      </c>
      <c r="G5" s="22" t="s">
        <v>137</v>
      </c>
      <c r="H5" s="22" t="s">
        <v>139</v>
      </c>
      <c r="I5" s="22" t="s">
        <v>136</v>
      </c>
    </row>
    <row r="6" spans="1:9" ht="15" customHeight="1" x14ac:dyDescent="0.2">
      <c r="A6" s="4"/>
      <c r="B6" s="22"/>
      <c r="C6" s="22"/>
      <c r="D6" s="22" t="s">
        <v>11</v>
      </c>
      <c r="E6" s="22" t="s">
        <v>11</v>
      </c>
      <c r="F6" s="22" t="s">
        <v>11</v>
      </c>
      <c r="G6" s="22"/>
      <c r="H6" s="22"/>
      <c r="I6" s="22"/>
    </row>
    <row r="7" spans="1:9" ht="24.75" customHeight="1" x14ac:dyDescent="0.2">
      <c r="A7" s="4"/>
      <c r="B7" s="22"/>
      <c r="C7" s="22"/>
      <c r="D7" s="22" t="s">
        <v>12</v>
      </c>
      <c r="E7" s="22" t="s">
        <v>12</v>
      </c>
      <c r="F7" s="22" t="s">
        <v>12</v>
      </c>
      <c r="G7" s="22"/>
      <c r="H7" s="22"/>
      <c r="I7" s="22"/>
    </row>
    <row r="8" spans="1:9" ht="24.75" customHeight="1" x14ac:dyDescent="0.2">
      <c r="A8" s="4"/>
      <c r="B8" s="5" t="s">
        <v>13</v>
      </c>
      <c r="C8" s="6"/>
      <c r="D8" s="6"/>
      <c r="E8" s="6"/>
      <c r="F8" s="6"/>
      <c r="G8" s="21">
        <v>1.0511999999999999</v>
      </c>
      <c r="H8" s="21">
        <v>1.0726</v>
      </c>
      <c r="I8" s="20"/>
    </row>
    <row r="9" spans="1:9" s="11" customFormat="1" ht="20.100000000000001" customHeight="1" x14ac:dyDescent="0.25">
      <c r="A9" s="7"/>
      <c r="B9" s="8" t="s">
        <v>14</v>
      </c>
      <c r="C9" s="9" t="s">
        <v>15</v>
      </c>
      <c r="D9" s="10">
        <v>5482895</v>
      </c>
      <c r="E9" s="10">
        <v>9747368</v>
      </c>
      <c r="F9" s="10">
        <v>0</v>
      </c>
      <c r="G9" s="10">
        <v>28292355</v>
      </c>
      <c r="H9" s="10">
        <v>0</v>
      </c>
      <c r="I9" s="10">
        <f t="shared" ref="I9:I18" si="0">SUM(D9:H9)</f>
        <v>43522618</v>
      </c>
    </row>
    <row r="10" spans="1:9" s="11" customFormat="1" ht="20.100000000000001" customHeight="1" x14ac:dyDescent="0.25">
      <c r="A10" s="7"/>
      <c r="B10" s="8" t="s">
        <v>16</v>
      </c>
      <c r="C10" s="9" t="s">
        <v>17</v>
      </c>
      <c r="D10" s="10">
        <v>5482895</v>
      </c>
      <c r="E10" s="10">
        <v>9747368</v>
      </c>
      <c r="F10" s="10">
        <v>0</v>
      </c>
      <c r="G10" s="10">
        <v>28292355</v>
      </c>
      <c r="H10" s="10">
        <v>0</v>
      </c>
      <c r="I10" s="10">
        <f t="shared" si="0"/>
        <v>43522618</v>
      </c>
    </row>
    <row r="11" spans="1:9" s="11" customFormat="1" ht="20.100000000000001" customHeight="1" x14ac:dyDescent="0.25">
      <c r="A11" s="7"/>
      <c r="B11" s="8" t="s">
        <v>18</v>
      </c>
      <c r="C11" s="9" t="s">
        <v>19</v>
      </c>
      <c r="D11" s="10">
        <v>5482895</v>
      </c>
      <c r="E11" s="10">
        <v>9747368</v>
      </c>
      <c r="F11" s="10">
        <v>0</v>
      </c>
      <c r="G11" s="10">
        <v>28292355</v>
      </c>
      <c r="H11" s="10">
        <v>0</v>
      </c>
      <c r="I11" s="10">
        <f t="shared" si="0"/>
        <v>43522618</v>
      </c>
    </row>
    <row r="12" spans="1:9" s="11" customFormat="1" ht="20.100000000000001" customHeight="1" x14ac:dyDescent="0.25">
      <c r="A12" s="7"/>
      <c r="B12" s="8" t="s">
        <v>20</v>
      </c>
      <c r="C12" s="9" t="s">
        <v>21</v>
      </c>
      <c r="D12" s="10">
        <v>8764742</v>
      </c>
      <c r="E12" s="10">
        <v>8764732</v>
      </c>
      <c r="F12" s="10">
        <v>7695442</v>
      </c>
      <c r="G12" s="10">
        <v>0</v>
      </c>
      <c r="H12" s="10">
        <v>4697901</v>
      </c>
      <c r="I12" s="10">
        <f t="shared" si="0"/>
        <v>29922817</v>
      </c>
    </row>
    <row r="13" spans="1:9" s="11" customFormat="1" ht="20.100000000000001" customHeight="1" x14ac:dyDescent="0.25">
      <c r="A13" s="7"/>
      <c r="B13" s="8" t="s">
        <v>22</v>
      </c>
      <c r="C13" s="9" t="s">
        <v>23</v>
      </c>
      <c r="D13" s="10">
        <v>8764742</v>
      </c>
      <c r="E13" s="10">
        <v>8764732</v>
      </c>
      <c r="F13" s="10">
        <v>7695442</v>
      </c>
      <c r="G13" s="10">
        <v>0</v>
      </c>
      <c r="H13" s="10">
        <v>4697901</v>
      </c>
      <c r="I13" s="10">
        <f t="shared" si="0"/>
        <v>29922817</v>
      </c>
    </row>
    <row r="14" spans="1:9" s="11" customFormat="1" ht="20.100000000000001" customHeight="1" x14ac:dyDescent="0.25">
      <c r="A14" s="7"/>
      <c r="B14" s="8" t="s">
        <v>24</v>
      </c>
      <c r="C14" s="9" t="s">
        <v>25</v>
      </c>
      <c r="D14" s="10">
        <v>8764742</v>
      </c>
      <c r="E14" s="10">
        <v>8764732</v>
      </c>
      <c r="F14" s="10">
        <v>7695442</v>
      </c>
      <c r="G14" s="10">
        <v>0</v>
      </c>
      <c r="H14" s="10">
        <v>4697901</v>
      </c>
      <c r="I14" s="10">
        <f t="shared" si="0"/>
        <v>29922817</v>
      </c>
    </row>
    <row r="15" spans="1:9" s="11" customFormat="1" ht="20.100000000000001" customHeight="1" x14ac:dyDescent="0.25">
      <c r="A15" s="7"/>
      <c r="B15" s="8" t="s">
        <v>26</v>
      </c>
      <c r="C15" s="9" t="s">
        <v>27</v>
      </c>
      <c r="D15" s="10">
        <v>8764742</v>
      </c>
      <c r="E15" s="10">
        <v>8764732</v>
      </c>
      <c r="F15" s="10">
        <v>7695442</v>
      </c>
      <c r="G15" s="10">
        <v>0</v>
      </c>
      <c r="H15" s="10">
        <v>4697901</v>
      </c>
      <c r="I15" s="10">
        <f t="shared" si="0"/>
        <v>29922817</v>
      </c>
    </row>
    <row r="16" spans="1:9" s="11" customFormat="1" ht="20.100000000000001" customHeight="1" x14ac:dyDescent="0.25">
      <c r="A16" s="7"/>
      <c r="B16" s="8" t="s">
        <v>28</v>
      </c>
      <c r="C16" s="9" t="s">
        <v>29</v>
      </c>
      <c r="D16" s="10">
        <v>8559475</v>
      </c>
      <c r="E16" s="10">
        <v>6681759</v>
      </c>
      <c r="F16" s="10">
        <v>0</v>
      </c>
      <c r="G16" s="10">
        <v>0</v>
      </c>
      <c r="H16" s="10">
        <v>2089329</v>
      </c>
      <c r="I16" s="10">
        <f t="shared" si="0"/>
        <v>17330563</v>
      </c>
    </row>
    <row r="17" spans="1:9" s="11" customFormat="1" ht="20.100000000000001" customHeight="1" x14ac:dyDescent="0.25">
      <c r="A17" s="7"/>
      <c r="B17" s="8" t="s">
        <v>30</v>
      </c>
      <c r="C17" s="9" t="s">
        <v>31</v>
      </c>
      <c r="D17" s="10">
        <v>6682717</v>
      </c>
      <c r="E17" s="10">
        <v>6682713</v>
      </c>
      <c r="F17" s="10">
        <v>0</v>
      </c>
      <c r="G17" s="10">
        <v>0</v>
      </c>
      <c r="H17" s="10">
        <v>3668035</v>
      </c>
      <c r="I17" s="10">
        <f t="shared" si="0"/>
        <v>17033465</v>
      </c>
    </row>
    <row r="18" spans="1:9" s="11" customFormat="1" ht="20.100000000000001" customHeight="1" x14ac:dyDescent="0.25">
      <c r="A18" s="7"/>
      <c r="B18" s="8" t="s">
        <v>32</v>
      </c>
      <c r="C18" s="9" t="s">
        <v>33</v>
      </c>
      <c r="D18" s="10">
        <v>5804318</v>
      </c>
      <c r="E18" s="10">
        <v>5804313</v>
      </c>
      <c r="F18" s="10">
        <v>0</v>
      </c>
      <c r="G18" s="10">
        <v>0</v>
      </c>
      <c r="H18" s="10">
        <v>0</v>
      </c>
      <c r="I18" s="10">
        <f t="shared" si="0"/>
        <v>11608631</v>
      </c>
    </row>
    <row r="19" spans="1:9" ht="27.75" customHeight="1" x14ac:dyDescent="0.25">
      <c r="A19" s="18"/>
      <c r="B19" s="2" t="s">
        <v>140</v>
      </c>
    </row>
    <row r="20" spans="1:9" ht="12.75" hidden="1" x14ac:dyDescent="0.2"/>
    <row r="21" spans="1:9" ht="12.75" hidden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</sheetData>
  <sheetProtection formatCells="0" selectLockedCells="1"/>
  <mergeCells count="11">
    <mergeCell ref="I5:I7"/>
    <mergeCell ref="F5:F7"/>
    <mergeCell ref="G5:G7"/>
    <mergeCell ref="H5:H7"/>
    <mergeCell ref="B2:I2"/>
    <mergeCell ref="B3:I3"/>
    <mergeCell ref="B4:I4"/>
    <mergeCell ref="B5:B7"/>
    <mergeCell ref="C5:C7"/>
    <mergeCell ref="D5:D7"/>
    <mergeCell ref="E5:E7"/>
  </mergeCells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14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A22-027E-42BD-8304-73F255796D40}">
  <sheetPr>
    <pageSetUpPr fitToPage="1"/>
  </sheetPr>
  <dimension ref="A1:N133"/>
  <sheetViews>
    <sheetView showGridLines="0" tabSelected="1" topLeftCell="A95" zoomScale="80" zoomScaleNormal="80" workbookViewId="0">
      <selection activeCell="B27" sqref="B27"/>
    </sheetView>
  </sheetViews>
  <sheetFormatPr baseColWidth="10" defaultColWidth="0" defaultRowHeight="0" customHeight="1" zeroHeight="1" x14ac:dyDescent="0.2"/>
  <cols>
    <col min="1" max="1" width="6.28515625" style="1" customWidth="1"/>
    <col min="2" max="2" width="31.85546875" style="1" customWidth="1"/>
    <col min="3" max="3" width="8" style="19" bestFit="1" customWidth="1"/>
    <col min="4" max="14" width="18.7109375" style="1" customWidth="1"/>
    <col min="15" max="253" width="11.42578125" style="1" customWidth="1"/>
    <col min="254" max="254" width="10.5703125" style="1" customWidth="1"/>
    <col min="255" max="255" width="6.28515625" style="1" customWidth="1"/>
    <col min="256" max="256" width="37.140625" style="1" customWidth="1"/>
    <col min="257" max="257" width="8.140625" style="1" bestFit="1" customWidth="1"/>
    <col min="258" max="258" width="11.42578125" style="1" customWidth="1"/>
    <col min="259" max="259" width="11.7109375" style="1" bestFit="1" customWidth="1"/>
    <col min="260" max="260" width="14.85546875" style="1" bestFit="1" customWidth="1"/>
    <col min="261" max="261" width="13.28515625" style="1" bestFit="1" customWidth="1"/>
    <col min="262" max="262" width="5.85546875" style="1" customWidth="1"/>
    <col min="263" max="263" width="11.42578125" style="1" customWidth="1"/>
    <col min="264" max="510" width="0" style="1" hidden="1"/>
    <col min="511" max="511" width="6.28515625" style="1" customWidth="1"/>
    <col min="512" max="512" width="37.140625" style="1" customWidth="1"/>
    <col min="513" max="513" width="8.140625" style="1" bestFit="1" customWidth="1"/>
    <col min="514" max="514" width="11.42578125" style="1" customWidth="1"/>
    <col min="515" max="515" width="11.7109375" style="1" bestFit="1" customWidth="1"/>
    <col min="516" max="516" width="14.85546875" style="1" bestFit="1" customWidth="1"/>
    <col min="517" max="517" width="13.28515625" style="1" bestFit="1" customWidth="1"/>
    <col min="518" max="518" width="5.85546875" style="1" customWidth="1"/>
    <col min="519" max="519" width="11.42578125" style="1" customWidth="1"/>
    <col min="520" max="766" width="0" style="1" hidden="1"/>
    <col min="767" max="767" width="6.28515625" style="1" customWidth="1"/>
    <col min="768" max="768" width="37.140625" style="1" customWidth="1"/>
    <col min="769" max="769" width="8.140625" style="1" bestFit="1" customWidth="1"/>
    <col min="770" max="770" width="11.42578125" style="1" customWidth="1"/>
    <col min="771" max="771" width="11.7109375" style="1" bestFit="1" customWidth="1"/>
    <col min="772" max="772" width="14.85546875" style="1" bestFit="1" customWidth="1"/>
    <col min="773" max="773" width="13.28515625" style="1" bestFit="1" customWidth="1"/>
    <col min="774" max="774" width="5.85546875" style="1" customWidth="1"/>
    <col min="775" max="775" width="11.42578125" style="1" customWidth="1"/>
    <col min="776" max="1022" width="0" style="1" hidden="1"/>
    <col min="1023" max="1023" width="6.28515625" style="1" customWidth="1"/>
    <col min="1024" max="1024" width="37.140625" style="1" customWidth="1"/>
    <col min="1025" max="1025" width="8.140625" style="1" bestFit="1" customWidth="1"/>
    <col min="1026" max="1026" width="11.42578125" style="1" customWidth="1"/>
    <col min="1027" max="1027" width="11.7109375" style="1" bestFit="1" customWidth="1"/>
    <col min="1028" max="1028" width="14.85546875" style="1" bestFit="1" customWidth="1"/>
    <col min="1029" max="1029" width="13.28515625" style="1" bestFit="1" customWidth="1"/>
    <col min="1030" max="1030" width="5.85546875" style="1" customWidth="1"/>
    <col min="1031" max="1031" width="11.42578125" style="1" customWidth="1"/>
    <col min="1032" max="1278" width="0" style="1" hidden="1"/>
    <col min="1279" max="1279" width="6.28515625" style="1" customWidth="1"/>
    <col min="1280" max="1280" width="37.140625" style="1" customWidth="1"/>
    <col min="1281" max="1281" width="8.140625" style="1" bestFit="1" customWidth="1"/>
    <col min="1282" max="1282" width="11.42578125" style="1" customWidth="1"/>
    <col min="1283" max="1283" width="11.7109375" style="1" bestFit="1" customWidth="1"/>
    <col min="1284" max="1284" width="14.85546875" style="1" bestFit="1" customWidth="1"/>
    <col min="1285" max="1285" width="13.28515625" style="1" bestFit="1" customWidth="1"/>
    <col min="1286" max="1286" width="5.85546875" style="1" customWidth="1"/>
    <col min="1287" max="1287" width="11.42578125" style="1" customWidth="1"/>
    <col min="1288" max="1534" width="0" style="1" hidden="1"/>
    <col min="1535" max="1535" width="6.28515625" style="1" customWidth="1"/>
    <col min="1536" max="1536" width="37.140625" style="1" customWidth="1"/>
    <col min="1537" max="1537" width="8.140625" style="1" bestFit="1" customWidth="1"/>
    <col min="1538" max="1538" width="11.42578125" style="1" customWidth="1"/>
    <col min="1539" max="1539" width="11.7109375" style="1" bestFit="1" customWidth="1"/>
    <col min="1540" max="1540" width="14.85546875" style="1" bestFit="1" customWidth="1"/>
    <col min="1541" max="1541" width="13.28515625" style="1" bestFit="1" customWidth="1"/>
    <col min="1542" max="1542" width="5.85546875" style="1" customWidth="1"/>
    <col min="1543" max="1543" width="11.42578125" style="1" customWidth="1"/>
    <col min="1544" max="1790" width="0" style="1" hidden="1"/>
    <col min="1791" max="1791" width="6.28515625" style="1" customWidth="1"/>
    <col min="1792" max="1792" width="37.140625" style="1" customWidth="1"/>
    <col min="1793" max="1793" width="8.140625" style="1" bestFit="1" customWidth="1"/>
    <col min="1794" max="1794" width="11.42578125" style="1" customWidth="1"/>
    <col min="1795" max="1795" width="11.7109375" style="1" bestFit="1" customWidth="1"/>
    <col min="1796" max="1796" width="14.85546875" style="1" bestFit="1" customWidth="1"/>
    <col min="1797" max="1797" width="13.28515625" style="1" bestFit="1" customWidth="1"/>
    <col min="1798" max="1798" width="5.85546875" style="1" customWidth="1"/>
    <col min="1799" max="1799" width="11.42578125" style="1" customWidth="1"/>
    <col min="1800" max="2046" width="0" style="1" hidden="1"/>
    <col min="2047" max="2047" width="6.28515625" style="1" customWidth="1"/>
    <col min="2048" max="2048" width="37.140625" style="1" customWidth="1"/>
    <col min="2049" max="2049" width="8.140625" style="1" bestFit="1" customWidth="1"/>
    <col min="2050" max="2050" width="11.42578125" style="1" customWidth="1"/>
    <col min="2051" max="2051" width="11.7109375" style="1" bestFit="1" customWidth="1"/>
    <col min="2052" max="2052" width="14.85546875" style="1" bestFit="1" customWidth="1"/>
    <col min="2053" max="2053" width="13.28515625" style="1" bestFit="1" customWidth="1"/>
    <col min="2054" max="2054" width="5.85546875" style="1" customWidth="1"/>
    <col min="2055" max="2055" width="11.42578125" style="1" customWidth="1"/>
    <col min="2056" max="2302" width="0" style="1" hidden="1"/>
    <col min="2303" max="2303" width="6.28515625" style="1" customWidth="1"/>
    <col min="2304" max="2304" width="37.140625" style="1" customWidth="1"/>
    <col min="2305" max="2305" width="8.140625" style="1" bestFit="1" customWidth="1"/>
    <col min="2306" max="2306" width="11.42578125" style="1" customWidth="1"/>
    <col min="2307" max="2307" width="11.7109375" style="1" bestFit="1" customWidth="1"/>
    <col min="2308" max="2308" width="14.85546875" style="1" bestFit="1" customWidth="1"/>
    <col min="2309" max="2309" width="13.28515625" style="1" bestFit="1" customWidth="1"/>
    <col min="2310" max="2310" width="5.85546875" style="1" customWidth="1"/>
    <col min="2311" max="2311" width="11.42578125" style="1" customWidth="1"/>
    <col min="2312" max="2558" width="0" style="1" hidden="1"/>
    <col min="2559" max="2559" width="6.28515625" style="1" customWidth="1"/>
    <col min="2560" max="2560" width="37.140625" style="1" customWidth="1"/>
    <col min="2561" max="2561" width="8.140625" style="1" bestFit="1" customWidth="1"/>
    <col min="2562" max="2562" width="11.42578125" style="1" customWidth="1"/>
    <col min="2563" max="2563" width="11.7109375" style="1" bestFit="1" customWidth="1"/>
    <col min="2564" max="2564" width="14.85546875" style="1" bestFit="1" customWidth="1"/>
    <col min="2565" max="2565" width="13.28515625" style="1" bestFit="1" customWidth="1"/>
    <col min="2566" max="2566" width="5.85546875" style="1" customWidth="1"/>
    <col min="2567" max="2567" width="11.42578125" style="1" customWidth="1"/>
    <col min="2568" max="2814" width="0" style="1" hidden="1"/>
    <col min="2815" max="2815" width="6.28515625" style="1" customWidth="1"/>
    <col min="2816" max="2816" width="37.140625" style="1" customWidth="1"/>
    <col min="2817" max="2817" width="8.140625" style="1" bestFit="1" customWidth="1"/>
    <col min="2818" max="2818" width="11.42578125" style="1" customWidth="1"/>
    <col min="2819" max="2819" width="11.7109375" style="1" bestFit="1" customWidth="1"/>
    <col min="2820" max="2820" width="14.85546875" style="1" bestFit="1" customWidth="1"/>
    <col min="2821" max="2821" width="13.28515625" style="1" bestFit="1" customWidth="1"/>
    <col min="2822" max="2822" width="5.85546875" style="1" customWidth="1"/>
    <col min="2823" max="2823" width="11.42578125" style="1" customWidth="1"/>
    <col min="2824" max="3070" width="0" style="1" hidden="1"/>
    <col min="3071" max="3071" width="6.28515625" style="1" customWidth="1"/>
    <col min="3072" max="3072" width="37.140625" style="1" customWidth="1"/>
    <col min="3073" max="3073" width="8.140625" style="1" bestFit="1" customWidth="1"/>
    <col min="3074" max="3074" width="11.42578125" style="1" customWidth="1"/>
    <col min="3075" max="3075" width="11.7109375" style="1" bestFit="1" customWidth="1"/>
    <col min="3076" max="3076" width="14.85546875" style="1" bestFit="1" customWidth="1"/>
    <col min="3077" max="3077" width="13.28515625" style="1" bestFit="1" customWidth="1"/>
    <col min="3078" max="3078" width="5.85546875" style="1" customWidth="1"/>
    <col min="3079" max="3079" width="11.42578125" style="1" customWidth="1"/>
    <col min="3080" max="3326" width="0" style="1" hidden="1"/>
    <col min="3327" max="3327" width="6.28515625" style="1" customWidth="1"/>
    <col min="3328" max="3328" width="37.140625" style="1" customWidth="1"/>
    <col min="3329" max="3329" width="8.140625" style="1" bestFit="1" customWidth="1"/>
    <col min="3330" max="3330" width="11.42578125" style="1" customWidth="1"/>
    <col min="3331" max="3331" width="11.7109375" style="1" bestFit="1" customWidth="1"/>
    <col min="3332" max="3332" width="14.85546875" style="1" bestFit="1" customWidth="1"/>
    <col min="3333" max="3333" width="13.28515625" style="1" bestFit="1" customWidth="1"/>
    <col min="3334" max="3334" width="5.85546875" style="1" customWidth="1"/>
    <col min="3335" max="3335" width="11.42578125" style="1" customWidth="1"/>
    <col min="3336" max="3582" width="0" style="1" hidden="1"/>
    <col min="3583" max="3583" width="6.28515625" style="1" customWidth="1"/>
    <col min="3584" max="3584" width="37.140625" style="1" customWidth="1"/>
    <col min="3585" max="3585" width="8.140625" style="1" bestFit="1" customWidth="1"/>
    <col min="3586" max="3586" width="11.42578125" style="1" customWidth="1"/>
    <col min="3587" max="3587" width="11.7109375" style="1" bestFit="1" customWidth="1"/>
    <col min="3588" max="3588" width="14.85546875" style="1" bestFit="1" customWidth="1"/>
    <col min="3589" max="3589" width="13.28515625" style="1" bestFit="1" customWidth="1"/>
    <col min="3590" max="3590" width="5.85546875" style="1" customWidth="1"/>
    <col min="3591" max="3591" width="11.42578125" style="1" customWidth="1"/>
    <col min="3592" max="3838" width="0" style="1" hidden="1"/>
    <col min="3839" max="3839" width="6.28515625" style="1" customWidth="1"/>
    <col min="3840" max="3840" width="37.140625" style="1" customWidth="1"/>
    <col min="3841" max="3841" width="8.140625" style="1" bestFit="1" customWidth="1"/>
    <col min="3842" max="3842" width="11.42578125" style="1" customWidth="1"/>
    <col min="3843" max="3843" width="11.7109375" style="1" bestFit="1" customWidth="1"/>
    <col min="3844" max="3844" width="14.85546875" style="1" bestFit="1" customWidth="1"/>
    <col min="3845" max="3845" width="13.28515625" style="1" bestFit="1" customWidth="1"/>
    <col min="3846" max="3846" width="5.85546875" style="1" customWidth="1"/>
    <col min="3847" max="3847" width="11.42578125" style="1" customWidth="1"/>
    <col min="3848" max="4094" width="0" style="1" hidden="1"/>
    <col min="4095" max="4095" width="6.28515625" style="1" customWidth="1"/>
    <col min="4096" max="4096" width="37.140625" style="1" customWidth="1"/>
    <col min="4097" max="4097" width="8.140625" style="1" bestFit="1" customWidth="1"/>
    <col min="4098" max="4098" width="11.42578125" style="1" customWidth="1"/>
    <col min="4099" max="4099" width="11.7109375" style="1" bestFit="1" customWidth="1"/>
    <col min="4100" max="4100" width="14.85546875" style="1" bestFit="1" customWidth="1"/>
    <col min="4101" max="4101" width="13.28515625" style="1" bestFit="1" customWidth="1"/>
    <col min="4102" max="4102" width="5.85546875" style="1" customWidth="1"/>
    <col min="4103" max="4103" width="11.42578125" style="1" customWidth="1"/>
    <col min="4104" max="4350" width="0" style="1" hidden="1"/>
    <col min="4351" max="4351" width="6.28515625" style="1" customWidth="1"/>
    <col min="4352" max="4352" width="37.140625" style="1" customWidth="1"/>
    <col min="4353" max="4353" width="8.140625" style="1" bestFit="1" customWidth="1"/>
    <col min="4354" max="4354" width="11.42578125" style="1" customWidth="1"/>
    <col min="4355" max="4355" width="11.7109375" style="1" bestFit="1" customWidth="1"/>
    <col min="4356" max="4356" width="14.85546875" style="1" bestFit="1" customWidth="1"/>
    <col min="4357" max="4357" width="13.28515625" style="1" bestFit="1" customWidth="1"/>
    <col min="4358" max="4358" width="5.85546875" style="1" customWidth="1"/>
    <col min="4359" max="4359" width="11.42578125" style="1" customWidth="1"/>
    <col min="4360" max="4606" width="0" style="1" hidden="1"/>
    <col min="4607" max="4607" width="6.28515625" style="1" customWidth="1"/>
    <col min="4608" max="4608" width="37.140625" style="1" customWidth="1"/>
    <col min="4609" max="4609" width="8.140625" style="1" bestFit="1" customWidth="1"/>
    <col min="4610" max="4610" width="11.42578125" style="1" customWidth="1"/>
    <col min="4611" max="4611" width="11.7109375" style="1" bestFit="1" customWidth="1"/>
    <col min="4612" max="4612" width="14.85546875" style="1" bestFit="1" customWidth="1"/>
    <col min="4613" max="4613" width="13.28515625" style="1" bestFit="1" customWidth="1"/>
    <col min="4614" max="4614" width="5.85546875" style="1" customWidth="1"/>
    <col min="4615" max="4615" width="11.42578125" style="1" customWidth="1"/>
    <col min="4616" max="4862" width="0" style="1" hidden="1"/>
    <col min="4863" max="4863" width="6.28515625" style="1" customWidth="1"/>
    <col min="4864" max="4864" width="37.140625" style="1" customWidth="1"/>
    <col min="4865" max="4865" width="8.140625" style="1" bestFit="1" customWidth="1"/>
    <col min="4866" max="4866" width="11.42578125" style="1" customWidth="1"/>
    <col min="4867" max="4867" width="11.7109375" style="1" bestFit="1" customWidth="1"/>
    <col min="4868" max="4868" width="14.85546875" style="1" bestFit="1" customWidth="1"/>
    <col min="4869" max="4869" width="13.28515625" style="1" bestFit="1" customWidth="1"/>
    <col min="4870" max="4870" width="5.85546875" style="1" customWidth="1"/>
    <col min="4871" max="4871" width="11.42578125" style="1" customWidth="1"/>
    <col min="4872" max="5118" width="0" style="1" hidden="1"/>
    <col min="5119" max="5119" width="6.28515625" style="1" customWidth="1"/>
    <col min="5120" max="5120" width="37.140625" style="1" customWidth="1"/>
    <col min="5121" max="5121" width="8.140625" style="1" bestFit="1" customWidth="1"/>
    <col min="5122" max="5122" width="11.42578125" style="1" customWidth="1"/>
    <col min="5123" max="5123" width="11.7109375" style="1" bestFit="1" customWidth="1"/>
    <col min="5124" max="5124" width="14.85546875" style="1" bestFit="1" customWidth="1"/>
    <col min="5125" max="5125" width="13.28515625" style="1" bestFit="1" customWidth="1"/>
    <col min="5126" max="5126" width="5.85546875" style="1" customWidth="1"/>
    <col min="5127" max="5127" width="11.42578125" style="1" customWidth="1"/>
    <col min="5128" max="5374" width="0" style="1" hidden="1"/>
    <col min="5375" max="5375" width="6.28515625" style="1" customWidth="1"/>
    <col min="5376" max="5376" width="37.140625" style="1" customWidth="1"/>
    <col min="5377" max="5377" width="8.140625" style="1" bestFit="1" customWidth="1"/>
    <col min="5378" max="5378" width="11.42578125" style="1" customWidth="1"/>
    <col min="5379" max="5379" width="11.7109375" style="1" bestFit="1" customWidth="1"/>
    <col min="5380" max="5380" width="14.85546875" style="1" bestFit="1" customWidth="1"/>
    <col min="5381" max="5381" width="13.28515625" style="1" bestFit="1" customWidth="1"/>
    <col min="5382" max="5382" width="5.85546875" style="1" customWidth="1"/>
    <col min="5383" max="5383" width="11.42578125" style="1" customWidth="1"/>
    <col min="5384" max="5630" width="0" style="1" hidden="1"/>
    <col min="5631" max="5631" width="6.28515625" style="1" customWidth="1"/>
    <col min="5632" max="5632" width="37.140625" style="1" customWidth="1"/>
    <col min="5633" max="5633" width="8.140625" style="1" bestFit="1" customWidth="1"/>
    <col min="5634" max="5634" width="11.42578125" style="1" customWidth="1"/>
    <col min="5635" max="5635" width="11.7109375" style="1" bestFit="1" customWidth="1"/>
    <col min="5636" max="5636" width="14.85546875" style="1" bestFit="1" customWidth="1"/>
    <col min="5637" max="5637" width="13.28515625" style="1" bestFit="1" customWidth="1"/>
    <col min="5638" max="5638" width="5.85546875" style="1" customWidth="1"/>
    <col min="5639" max="5639" width="11.42578125" style="1" customWidth="1"/>
    <col min="5640" max="5886" width="0" style="1" hidden="1"/>
    <col min="5887" max="5887" width="6.28515625" style="1" customWidth="1"/>
    <col min="5888" max="5888" width="37.140625" style="1" customWidth="1"/>
    <col min="5889" max="5889" width="8.140625" style="1" bestFit="1" customWidth="1"/>
    <col min="5890" max="5890" width="11.42578125" style="1" customWidth="1"/>
    <col min="5891" max="5891" width="11.7109375" style="1" bestFit="1" customWidth="1"/>
    <col min="5892" max="5892" width="14.85546875" style="1" bestFit="1" customWidth="1"/>
    <col min="5893" max="5893" width="13.28515625" style="1" bestFit="1" customWidth="1"/>
    <col min="5894" max="5894" width="5.85546875" style="1" customWidth="1"/>
    <col min="5895" max="5895" width="11.42578125" style="1" customWidth="1"/>
    <col min="5896" max="6142" width="0" style="1" hidden="1"/>
    <col min="6143" max="6143" width="6.28515625" style="1" customWidth="1"/>
    <col min="6144" max="6144" width="37.140625" style="1" customWidth="1"/>
    <col min="6145" max="6145" width="8.140625" style="1" bestFit="1" customWidth="1"/>
    <col min="6146" max="6146" width="11.42578125" style="1" customWidth="1"/>
    <col min="6147" max="6147" width="11.7109375" style="1" bestFit="1" customWidth="1"/>
    <col min="6148" max="6148" width="14.85546875" style="1" bestFit="1" customWidth="1"/>
    <col min="6149" max="6149" width="13.28515625" style="1" bestFit="1" customWidth="1"/>
    <col min="6150" max="6150" width="5.85546875" style="1" customWidth="1"/>
    <col min="6151" max="6151" width="11.42578125" style="1" customWidth="1"/>
    <col min="6152" max="6398" width="0" style="1" hidden="1"/>
    <col min="6399" max="6399" width="6.28515625" style="1" customWidth="1"/>
    <col min="6400" max="6400" width="37.140625" style="1" customWidth="1"/>
    <col min="6401" max="6401" width="8.140625" style="1" bestFit="1" customWidth="1"/>
    <col min="6402" max="6402" width="11.42578125" style="1" customWidth="1"/>
    <col min="6403" max="6403" width="11.7109375" style="1" bestFit="1" customWidth="1"/>
    <col min="6404" max="6404" width="14.85546875" style="1" bestFit="1" customWidth="1"/>
    <col min="6405" max="6405" width="13.28515625" style="1" bestFit="1" customWidth="1"/>
    <col min="6406" max="6406" width="5.85546875" style="1" customWidth="1"/>
    <col min="6407" max="6407" width="11.42578125" style="1" customWidth="1"/>
    <col min="6408" max="6654" width="0" style="1" hidden="1"/>
    <col min="6655" max="6655" width="6.28515625" style="1" customWidth="1"/>
    <col min="6656" max="6656" width="37.140625" style="1" customWidth="1"/>
    <col min="6657" max="6657" width="8.140625" style="1" bestFit="1" customWidth="1"/>
    <col min="6658" max="6658" width="11.42578125" style="1" customWidth="1"/>
    <col min="6659" max="6659" width="11.7109375" style="1" bestFit="1" customWidth="1"/>
    <col min="6660" max="6660" width="14.85546875" style="1" bestFit="1" customWidth="1"/>
    <col min="6661" max="6661" width="13.28515625" style="1" bestFit="1" customWidth="1"/>
    <col min="6662" max="6662" width="5.85546875" style="1" customWidth="1"/>
    <col min="6663" max="6663" width="11.42578125" style="1" customWidth="1"/>
    <col min="6664" max="6910" width="0" style="1" hidden="1"/>
    <col min="6911" max="6911" width="6.28515625" style="1" customWidth="1"/>
    <col min="6912" max="6912" width="37.140625" style="1" customWidth="1"/>
    <col min="6913" max="6913" width="8.140625" style="1" bestFit="1" customWidth="1"/>
    <col min="6914" max="6914" width="11.42578125" style="1" customWidth="1"/>
    <col min="6915" max="6915" width="11.7109375" style="1" bestFit="1" customWidth="1"/>
    <col min="6916" max="6916" width="14.85546875" style="1" bestFit="1" customWidth="1"/>
    <col min="6917" max="6917" width="13.28515625" style="1" bestFit="1" customWidth="1"/>
    <col min="6918" max="6918" width="5.85546875" style="1" customWidth="1"/>
    <col min="6919" max="6919" width="11.42578125" style="1" customWidth="1"/>
    <col min="6920" max="7166" width="0" style="1" hidden="1"/>
    <col min="7167" max="7167" width="6.28515625" style="1" customWidth="1"/>
    <col min="7168" max="7168" width="37.140625" style="1" customWidth="1"/>
    <col min="7169" max="7169" width="8.140625" style="1" bestFit="1" customWidth="1"/>
    <col min="7170" max="7170" width="11.42578125" style="1" customWidth="1"/>
    <col min="7171" max="7171" width="11.7109375" style="1" bestFit="1" customWidth="1"/>
    <col min="7172" max="7172" width="14.85546875" style="1" bestFit="1" customWidth="1"/>
    <col min="7173" max="7173" width="13.28515625" style="1" bestFit="1" customWidth="1"/>
    <col min="7174" max="7174" width="5.85546875" style="1" customWidth="1"/>
    <col min="7175" max="7175" width="11.42578125" style="1" customWidth="1"/>
    <col min="7176" max="7422" width="0" style="1" hidden="1"/>
    <col min="7423" max="7423" width="6.28515625" style="1" customWidth="1"/>
    <col min="7424" max="7424" width="37.140625" style="1" customWidth="1"/>
    <col min="7425" max="7425" width="8.140625" style="1" bestFit="1" customWidth="1"/>
    <col min="7426" max="7426" width="11.42578125" style="1" customWidth="1"/>
    <col min="7427" max="7427" width="11.7109375" style="1" bestFit="1" customWidth="1"/>
    <col min="7428" max="7428" width="14.85546875" style="1" bestFit="1" customWidth="1"/>
    <col min="7429" max="7429" width="13.28515625" style="1" bestFit="1" customWidth="1"/>
    <col min="7430" max="7430" width="5.85546875" style="1" customWidth="1"/>
    <col min="7431" max="7431" width="11.42578125" style="1" customWidth="1"/>
    <col min="7432" max="7678" width="0" style="1" hidden="1"/>
    <col min="7679" max="7679" width="6.28515625" style="1" customWidth="1"/>
    <col min="7680" max="7680" width="37.140625" style="1" customWidth="1"/>
    <col min="7681" max="7681" width="8.140625" style="1" bestFit="1" customWidth="1"/>
    <col min="7682" max="7682" width="11.42578125" style="1" customWidth="1"/>
    <col min="7683" max="7683" width="11.7109375" style="1" bestFit="1" customWidth="1"/>
    <col min="7684" max="7684" width="14.85546875" style="1" bestFit="1" customWidth="1"/>
    <col min="7685" max="7685" width="13.28515625" style="1" bestFit="1" customWidth="1"/>
    <col min="7686" max="7686" width="5.85546875" style="1" customWidth="1"/>
    <col min="7687" max="7687" width="11.42578125" style="1" customWidth="1"/>
    <col min="7688" max="7934" width="0" style="1" hidden="1"/>
    <col min="7935" max="7935" width="6.28515625" style="1" customWidth="1"/>
    <col min="7936" max="7936" width="37.140625" style="1" customWidth="1"/>
    <col min="7937" max="7937" width="8.140625" style="1" bestFit="1" customWidth="1"/>
    <col min="7938" max="7938" width="11.42578125" style="1" customWidth="1"/>
    <col min="7939" max="7939" width="11.7109375" style="1" bestFit="1" customWidth="1"/>
    <col min="7940" max="7940" width="14.85546875" style="1" bestFit="1" customWidth="1"/>
    <col min="7941" max="7941" width="13.28515625" style="1" bestFit="1" customWidth="1"/>
    <col min="7942" max="7942" width="5.85546875" style="1" customWidth="1"/>
    <col min="7943" max="7943" width="11.42578125" style="1" customWidth="1"/>
    <col min="7944" max="8190" width="0" style="1" hidden="1"/>
    <col min="8191" max="8191" width="6.28515625" style="1" customWidth="1"/>
    <col min="8192" max="8192" width="37.140625" style="1" customWidth="1"/>
    <col min="8193" max="8193" width="8.140625" style="1" bestFit="1" customWidth="1"/>
    <col min="8194" max="8194" width="11.42578125" style="1" customWidth="1"/>
    <col min="8195" max="8195" width="11.7109375" style="1" bestFit="1" customWidth="1"/>
    <col min="8196" max="8196" width="14.85546875" style="1" bestFit="1" customWidth="1"/>
    <col min="8197" max="8197" width="13.28515625" style="1" bestFit="1" customWidth="1"/>
    <col min="8198" max="8198" width="5.85546875" style="1" customWidth="1"/>
    <col min="8199" max="8199" width="11.42578125" style="1" customWidth="1"/>
    <col min="8200" max="8446" width="0" style="1" hidden="1"/>
    <col min="8447" max="8447" width="6.28515625" style="1" customWidth="1"/>
    <col min="8448" max="8448" width="37.140625" style="1" customWidth="1"/>
    <col min="8449" max="8449" width="8.140625" style="1" bestFit="1" customWidth="1"/>
    <col min="8450" max="8450" width="11.42578125" style="1" customWidth="1"/>
    <col min="8451" max="8451" width="11.7109375" style="1" bestFit="1" customWidth="1"/>
    <col min="8452" max="8452" width="14.85546875" style="1" bestFit="1" customWidth="1"/>
    <col min="8453" max="8453" width="13.28515625" style="1" bestFit="1" customWidth="1"/>
    <col min="8454" max="8454" width="5.85546875" style="1" customWidth="1"/>
    <col min="8455" max="8455" width="11.42578125" style="1" customWidth="1"/>
    <col min="8456" max="8702" width="0" style="1" hidden="1"/>
    <col min="8703" max="8703" width="6.28515625" style="1" customWidth="1"/>
    <col min="8704" max="8704" width="37.140625" style="1" customWidth="1"/>
    <col min="8705" max="8705" width="8.140625" style="1" bestFit="1" customWidth="1"/>
    <col min="8706" max="8706" width="11.42578125" style="1" customWidth="1"/>
    <col min="8707" max="8707" width="11.7109375" style="1" bestFit="1" customWidth="1"/>
    <col min="8708" max="8708" width="14.85546875" style="1" bestFit="1" customWidth="1"/>
    <col min="8709" max="8709" width="13.28515625" style="1" bestFit="1" customWidth="1"/>
    <col min="8710" max="8710" width="5.85546875" style="1" customWidth="1"/>
    <col min="8711" max="8711" width="11.42578125" style="1" customWidth="1"/>
    <col min="8712" max="8958" width="0" style="1" hidden="1"/>
    <col min="8959" max="8959" width="6.28515625" style="1" customWidth="1"/>
    <col min="8960" max="8960" width="37.140625" style="1" customWidth="1"/>
    <col min="8961" max="8961" width="8.140625" style="1" bestFit="1" customWidth="1"/>
    <col min="8962" max="8962" width="11.42578125" style="1" customWidth="1"/>
    <col min="8963" max="8963" width="11.7109375" style="1" bestFit="1" customWidth="1"/>
    <col min="8964" max="8964" width="14.85546875" style="1" bestFit="1" customWidth="1"/>
    <col min="8965" max="8965" width="13.28515625" style="1" bestFit="1" customWidth="1"/>
    <col min="8966" max="8966" width="5.85546875" style="1" customWidth="1"/>
    <col min="8967" max="8967" width="11.42578125" style="1" customWidth="1"/>
    <col min="8968" max="9214" width="0" style="1" hidden="1"/>
    <col min="9215" max="9215" width="6.28515625" style="1" customWidth="1"/>
    <col min="9216" max="9216" width="37.140625" style="1" customWidth="1"/>
    <col min="9217" max="9217" width="8.140625" style="1" bestFit="1" customWidth="1"/>
    <col min="9218" max="9218" width="11.42578125" style="1" customWidth="1"/>
    <col min="9219" max="9219" width="11.7109375" style="1" bestFit="1" customWidth="1"/>
    <col min="9220" max="9220" width="14.85546875" style="1" bestFit="1" customWidth="1"/>
    <col min="9221" max="9221" width="13.28515625" style="1" bestFit="1" customWidth="1"/>
    <col min="9222" max="9222" width="5.85546875" style="1" customWidth="1"/>
    <col min="9223" max="9223" width="11.42578125" style="1" customWidth="1"/>
    <col min="9224" max="9470" width="0" style="1" hidden="1"/>
    <col min="9471" max="9471" width="6.28515625" style="1" customWidth="1"/>
    <col min="9472" max="9472" width="37.140625" style="1" customWidth="1"/>
    <col min="9473" max="9473" width="8.140625" style="1" bestFit="1" customWidth="1"/>
    <col min="9474" max="9474" width="11.42578125" style="1" customWidth="1"/>
    <col min="9475" max="9475" width="11.7109375" style="1" bestFit="1" customWidth="1"/>
    <col min="9476" max="9476" width="14.85546875" style="1" bestFit="1" customWidth="1"/>
    <col min="9477" max="9477" width="13.28515625" style="1" bestFit="1" customWidth="1"/>
    <col min="9478" max="9478" width="5.85546875" style="1" customWidth="1"/>
    <col min="9479" max="9479" width="11.42578125" style="1" customWidth="1"/>
    <col min="9480" max="9726" width="0" style="1" hidden="1"/>
    <col min="9727" max="9727" width="6.28515625" style="1" customWidth="1"/>
    <col min="9728" max="9728" width="37.140625" style="1" customWidth="1"/>
    <col min="9729" max="9729" width="8.140625" style="1" bestFit="1" customWidth="1"/>
    <col min="9730" max="9730" width="11.42578125" style="1" customWidth="1"/>
    <col min="9731" max="9731" width="11.7109375" style="1" bestFit="1" customWidth="1"/>
    <col min="9732" max="9732" width="14.85546875" style="1" bestFit="1" customWidth="1"/>
    <col min="9733" max="9733" width="13.28515625" style="1" bestFit="1" customWidth="1"/>
    <col min="9734" max="9734" width="5.85546875" style="1" customWidth="1"/>
    <col min="9735" max="9735" width="11.42578125" style="1" customWidth="1"/>
    <col min="9736" max="9982" width="0" style="1" hidden="1"/>
    <col min="9983" max="9983" width="6.28515625" style="1" customWidth="1"/>
    <col min="9984" max="9984" width="37.140625" style="1" customWidth="1"/>
    <col min="9985" max="9985" width="8.140625" style="1" bestFit="1" customWidth="1"/>
    <col min="9986" max="9986" width="11.42578125" style="1" customWidth="1"/>
    <col min="9987" max="9987" width="11.7109375" style="1" bestFit="1" customWidth="1"/>
    <col min="9988" max="9988" width="14.85546875" style="1" bestFit="1" customWidth="1"/>
    <col min="9989" max="9989" width="13.28515625" style="1" bestFit="1" customWidth="1"/>
    <col min="9990" max="9990" width="5.85546875" style="1" customWidth="1"/>
    <col min="9991" max="9991" width="11.42578125" style="1" customWidth="1"/>
    <col min="9992" max="10238" width="0" style="1" hidden="1"/>
    <col min="10239" max="10239" width="6.28515625" style="1" customWidth="1"/>
    <col min="10240" max="10240" width="37.140625" style="1" customWidth="1"/>
    <col min="10241" max="10241" width="8.140625" style="1" bestFit="1" customWidth="1"/>
    <col min="10242" max="10242" width="11.42578125" style="1" customWidth="1"/>
    <col min="10243" max="10243" width="11.7109375" style="1" bestFit="1" customWidth="1"/>
    <col min="10244" max="10244" width="14.85546875" style="1" bestFit="1" customWidth="1"/>
    <col min="10245" max="10245" width="13.28515625" style="1" bestFit="1" customWidth="1"/>
    <col min="10246" max="10246" width="5.85546875" style="1" customWidth="1"/>
    <col min="10247" max="10247" width="11.42578125" style="1" customWidth="1"/>
    <col min="10248" max="10494" width="0" style="1" hidden="1"/>
    <col min="10495" max="10495" width="6.28515625" style="1" customWidth="1"/>
    <col min="10496" max="10496" width="37.140625" style="1" customWidth="1"/>
    <col min="10497" max="10497" width="8.140625" style="1" bestFit="1" customWidth="1"/>
    <col min="10498" max="10498" width="11.42578125" style="1" customWidth="1"/>
    <col min="10499" max="10499" width="11.7109375" style="1" bestFit="1" customWidth="1"/>
    <col min="10500" max="10500" width="14.85546875" style="1" bestFit="1" customWidth="1"/>
    <col min="10501" max="10501" width="13.28515625" style="1" bestFit="1" customWidth="1"/>
    <col min="10502" max="10502" width="5.85546875" style="1" customWidth="1"/>
    <col min="10503" max="10503" width="11.42578125" style="1" customWidth="1"/>
    <col min="10504" max="10750" width="0" style="1" hidden="1"/>
    <col min="10751" max="10751" width="6.28515625" style="1" customWidth="1"/>
    <col min="10752" max="10752" width="37.140625" style="1" customWidth="1"/>
    <col min="10753" max="10753" width="8.140625" style="1" bestFit="1" customWidth="1"/>
    <col min="10754" max="10754" width="11.42578125" style="1" customWidth="1"/>
    <col min="10755" max="10755" width="11.7109375" style="1" bestFit="1" customWidth="1"/>
    <col min="10756" max="10756" width="14.85546875" style="1" bestFit="1" customWidth="1"/>
    <col min="10757" max="10757" width="13.28515625" style="1" bestFit="1" customWidth="1"/>
    <col min="10758" max="10758" width="5.85546875" style="1" customWidth="1"/>
    <col min="10759" max="10759" width="11.42578125" style="1" customWidth="1"/>
    <col min="10760" max="11006" width="0" style="1" hidden="1"/>
    <col min="11007" max="11007" width="6.28515625" style="1" customWidth="1"/>
    <col min="11008" max="11008" width="37.140625" style="1" customWidth="1"/>
    <col min="11009" max="11009" width="8.140625" style="1" bestFit="1" customWidth="1"/>
    <col min="11010" max="11010" width="11.42578125" style="1" customWidth="1"/>
    <col min="11011" max="11011" width="11.7109375" style="1" bestFit="1" customWidth="1"/>
    <col min="11012" max="11012" width="14.85546875" style="1" bestFit="1" customWidth="1"/>
    <col min="11013" max="11013" width="13.28515625" style="1" bestFit="1" customWidth="1"/>
    <col min="11014" max="11014" width="5.85546875" style="1" customWidth="1"/>
    <col min="11015" max="11015" width="11.42578125" style="1" customWidth="1"/>
    <col min="11016" max="11262" width="0" style="1" hidden="1"/>
    <col min="11263" max="11263" width="6.28515625" style="1" customWidth="1"/>
    <col min="11264" max="11264" width="37.140625" style="1" customWidth="1"/>
    <col min="11265" max="11265" width="8.140625" style="1" bestFit="1" customWidth="1"/>
    <col min="11266" max="11266" width="11.42578125" style="1" customWidth="1"/>
    <col min="11267" max="11267" width="11.7109375" style="1" bestFit="1" customWidth="1"/>
    <col min="11268" max="11268" width="14.85546875" style="1" bestFit="1" customWidth="1"/>
    <col min="11269" max="11269" width="13.28515625" style="1" bestFit="1" customWidth="1"/>
    <col min="11270" max="11270" width="5.85546875" style="1" customWidth="1"/>
    <col min="11271" max="11271" width="11.42578125" style="1" customWidth="1"/>
    <col min="11272" max="11518" width="0" style="1" hidden="1"/>
    <col min="11519" max="11519" width="6.28515625" style="1" customWidth="1"/>
    <col min="11520" max="11520" width="37.140625" style="1" customWidth="1"/>
    <col min="11521" max="11521" width="8.140625" style="1" bestFit="1" customWidth="1"/>
    <col min="11522" max="11522" width="11.42578125" style="1" customWidth="1"/>
    <col min="11523" max="11523" width="11.7109375" style="1" bestFit="1" customWidth="1"/>
    <col min="11524" max="11524" width="14.85546875" style="1" bestFit="1" customWidth="1"/>
    <col min="11525" max="11525" width="13.28515625" style="1" bestFit="1" customWidth="1"/>
    <col min="11526" max="11526" width="5.85546875" style="1" customWidth="1"/>
    <col min="11527" max="11527" width="11.42578125" style="1" customWidth="1"/>
    <col min="11528" max="11774" width="0" style="1" hidden="1"/>
    <col min="11775" max="11775" width="6.28515625" style="1" customWidth="1"/>
    <col min="11776" max="11776" width="37.140625" style="1" customWidth="1"/>
    <col min="11777" max="11777" width="8.140625" style="1" bestFit="1" customWidth="1"/>
    <col min="11778" max="11778" width="11.42578125" style="1" customWidth="1"/>
    <col min="11779" max="11779" width="11.7109375" style="1" bestFit="1" customWidth="1"/>
    <col min="11780" max="11780" width="14.85546875" style="1" bestFit="1" customWidth="1"/>
    <col min="11781" max="11781" width="13.28515625" style="1" bestFit="1" customWidth="1"/>
    <col min="11782" max="11782" width="5.85546875" style="1" customWidth="1"/>
    <col min="11783" max="11783" width="11.42578125" style="1" customWidth="1"/>
    <col min="11784" max="12030" width="0" style="1" hidden="1"/>
    <col min="12031" max="12031" width="6.28515625" style="1" customWidth="1"/>
    <col min="12032" max="12032" width="37.140625" style="1" customWidth="1"/>
    <col min="12033" max="12033" width="8.140625" style="1" bestFit="1" customWidth="1"/>
    <col min="12034" max="12034" width="11.42578125" style="1" customWidth="1"/>
    <col min="12035" max="12035" width="11.7109375" style="1" bestFit="1" customWidth="1"/>
    <col min="12036" max="12036" width="14.85546875" style="1" bestFit="1" customWidth="1"/>
    <col min="12037" max="12037" width="13.28515625" style="1" bestFit="1" customWidth="1"/>
    <col min="12038" max="12038" width="5.85546875" style="1" customWidth="1"/>
    <col min="12039" max="12039" width="11.42578125" style="1" customWidth="1"/>
    <col min="12040" max="12286" width="0" style="1" hidden="1"/>
    <col min="12287" max="12287" width="6.28515625" style="1" customWidth="1"/>
    <col min="12288" max="12288" width="37.140625" style="1" customWidth="1"/>
    <col min="12289" max="12289" width="8.140625" style="1" bestFit="1" customWidth="1"/>
    <col min="12290" max="12290" width="11.42578125" style="1" customWidth="1"/>
    <col min="12291" max="12291" width="11.7109375" style="1" bestFit="1" customWidth="1"/>
    <col min="12292" max="12292" width="14.85546875" style="1" bestFit="1" customWidth="1"/>
    <col min="12293" max="12293" width="13.28515625" style="1" bestFit="1" customWidth="1"/>
    <col min="12294" max="12294" width="5.85546875" style="1" customWidth="1"/>
    <col min="12295" max="12295" width="11.42578125" style="1" customWidth="1"/>
    <col min="12296" max="12542" width="0" style="1" hidden="1"/>
    <col min="12543" max="12543" width="6.28515625" style="1" customWidth="1"/>
    <col min="12544" max="12544" width="37.140625" style="1" customWidth="1"/>
    <col min="12545" max="12545" width="8.140625" style="1" bestFit="1" customWidth="1"/>
    <col min="12546" max="12546" width="11.42578125" style="1" customWidth="1"/>
    <col min="12547" max="12547" width="11.7109375" style="1" bestFit="1" customWidth="1"/>
    <col min="12548" max="12548" width="14.85546875" style="1" bestFit="1" customWidth="1"/>
    <col min="12549" max="12549" width="13.28515625" style="1" bestFit="1" customWidth="1"/>
    <col min="12550" max="12550" width="5.85546875" style="1" customWidth="1"/>
    <col min="12551" max="12551" width="11.42578125" style="1" customWidth="1"/>
    <col min="12552" max="12798" width="0" style="1" hidden="1"/>
    <col min="12799" max="12799" width="6.28515625" style="1" customWidth="1"/>
    <col min="12800" max="12800" width="37.140625" style="1" customWidth="1"/>
    <col min="12801" max="12801" width="8.140625" style="1" bestFit="1" customWidth="1"/>
    <col min="12802" max="12802" width="11.42578125" style="1" customWidth="1"/>
    <col min="12803" max="12803" width="11.7109375" style="1" bestFit="1" customWidth="1"/>
    <col min="12804" max="12804" width="14.85546875" style="1" bestFit="1" customWidth="1"/>
    <col min="12805" max="12805" width="13.28515625" style="1" bestFit="1" customWidth="1"/>
    <col min="12806" max="12806" width="5.85546875" style="1" customWidth="1"/>
    <col min="12807" max="12807" width="11.42578125" style="1" customWidth="1"/>
    <col min="12808" max="13054" width="0" style="1" hidden="1"/>
    <col min="13055" max="13055" width="6.28515625" style="1" customWidth="1"/>
    <col min="13056" max="13056" width="37.140625" style="1" customWidth="1"/>
    <col min="13057" max="13057" width="8.140625" style="1" bestFit="1" customWidth="1"/>
    <col min="13058" max="13058" width="11.42578125" style="1" customWidth="1"/>
    <col min="13059" max="13059" width="11.7109375" style="1" bestFit="1" customWidth="1"/>
    <col min="13060" max="13060" width="14.85546875" style="1" bestFit="1" customWidth="1"/>
    <col min="13061" max="13061" width="13.28515625" style="1" bestFit="1" customWidth="1"/>
    <col min="13062" max="13062" width="5.85546875" style="1" customWidth="1"/>
    <col min="13063" max="13063" width="11.42578125" style="1" customWidth="1"/>
    <col min="13064" max="13310" width="0" style="1" hidden="1"/>
    <col min="13311" max="13311" width="6.28515625" style="1" customWidth="1"/>
    <col min="13312" max="13312" width="37.140625" style="1" customWidth="1"/>
    <col min="13313" max="13313" width="8.140625" style="1" bestFit="1" customWidth="1"/>
    <col min="13314" max="13314" width="11.42578125" style="1" customWidth="1"/>
    <col min="13315" max="13315" width="11.7109375" style="1" bestFit="1" customWidth="1"/>
    <col min="13316" max="13316" width="14.85546875" style="1" bestFit="1" customWidth="1"/>
    <col min="13317" max="13317" width="13.28515625" style="1" bestFit="1" customWidth="1"/>
    <col min="13318" max="13318" width="5.85546875" style="1" customWidth="1"/>
    <col min="13319" max="13319" width="11.42578125" style="1" customWidth="1"/>
    <col min="13320" max="13566" width="0" style="1" hidden="1"/>
    <col min="13567" max="13567" width="6.28515625" style="1" customWidth="1"/>
    <col min="13568" max="13568" width="37.140625" style="1" customWidth="1"/>
    <col min="13569" max="13569" width="8.140625" style="1" bestFit="1" customWidth="1"/>
    <col min="13570" max="13570" width="11.42578125" style="1" customWidth="1"/>
    <col min="13571" max="13571" width="11.7109375" style="1" bestFit="1" customWidth="1"/>
    <col min="13572" max="13572" width="14.85546875" style="1" bestFit="1" customWidth="1"/>
    <col min="13573" max="13573" width="13.28515625" style="1" bestFit="1" customWidth="1"/>
    <col min="13574" max="13574" width="5.85546875" style="1" customWidth="1"/>
    <col min="13575" max="13575" width="11.42578125" style="1" customWidth="1"/>
    <col min="13576" max="13822" width="0" style="1" hidden="1"/>
    <col min="13823" max="13823" width="6.28515625" style="1" customWidth="1"/>
    <col min="13824" max="13824" width="37.140625" style="1" customWidth="1"/>
    <col min="13825" max="13825" width="8.140625" style="1" bestFit="1" customWidth="1"/>
    <col min="13826" max="13826" width="11.42578125" style="1" customWidth="1"/>
    <col min="13827" max="13827" width="11.7109375" style="1" bestFit="1" customWidth="1"/>
    <col min="13828" max="13828" width="14.85546875" style="1" bestFit="1" customWidth="1"/>
    <col min="13829" max="13829" width="13.28515625" style="1" bestFit="1" customWidth="1"/>
    <col min="13830" max="13830" width="5.85546875" style="1" customWidth="1"/>
    <col min="13831" max="13831" width="11.42578125" style="1" customWidth="1"/>
    <col min="13832" max="14078" width="0" style="1" hidden="1"/>
    <col min="14079" max="14079" width="6.28515625" style="1" customWidth="1"/>
    <col min="14080" max="14080" width="37.140625" style="1" customWidth="1"/>
    <col min="14081" max="14081" width="8.140625" style="1" bestFit="1" customWidth="1"/>
    <col min="14082" max="14082" width="11.42578125" style="1" customWidth="1"/>
    <col min="14083" max="14083" width="11.7109375" style="1" bestFit="1" customWidth="1"/>
    <col min="14084" max="14084" width="14.85546875" style="1" bestFit="1" customWidth="1"/>
    <col min="14085" max="14085" width="13.28515625" style="1" bestFit="1" customWidth="1"/>
    <col min="14086" max="14086" width="5.85546875" style="1" customWidth="1"/>
    <col min="14087" max="14087" width="11.42578125" style="1" customWidth="1"/>
    <col min="14088" max="14334" width="0" style="1" hidden="1"/>
    <col min="14335" max="14335" width="6.28515625" style="1" customWidth="1"/>
    <col min="14336" max="14336" width="37.140625" style="1" customWidth="1"/>
    <col min="14337" max="14337" width="8.140625" style="1" bestFit="1" customWidth="1"/>
    <col min="14338" max="14338" width="11.42578125" style="1" customWidth="1"/>
    <col min="14339" max="14339" width="11.7109375" style="1" bestFit="1" customWidth="1"/>
    <col min="14340" max="14340" width="14.85546875" style="1" bestFit="1" customWidth="1"/>
    <col min="14341" max="14341" width="13.28515625" style="1" bestFit="1" customWidth="1"/>
    <col min="14342" max="14342" width="5.85546875" style="1" customWidth="1"/>
    <col min="14343" max="14343" width="11.42578125" style="1" customWidth="1"/>
    <col min="14344" max="14590" width="0" style="1" hidden="1"/>
    <col min="14591" max="14591" width="6.28515625" style="1" customWidth="1"/>
    <col min="14592" max="14592" width="37.140625" style="1" customWidth="1"/>
    <col min="14593" max="14593" width="8.140625" style="1" bestFit="1" customWidth="1"/>
    <col min="14594" max="14594" width="11.42578125" style="1" customWidth="1"/>
    <col min="14595" max="14595" width="11.7109375" style="1" bestFit="1" customWidth="1"/>
    <col min="14596" max="14596" width="14.85546875" style="1" bestFit="1" customWidth="1"/>
    <col min="14597" max="14597" width="13.28515625" style="1" bestFit="1" customWidth="1"/>
    <col min="14598" max="14598" width="5.85546875" style="1" customWidth="1"/>
    <col min="14599" max="14599" width="11.42578125" style="1" customWidth="1"/>
    <col min="14600" max="14846" width="0" style="1" hidden="1"/>
    <col min="14847" max="14847" width="6.28515625" style="1" customWidth="1"/>
    <col min="14848" max="14848" width="37.140625" style="1" customWidth="1"/>
    <col min="14849" max="14849" width="8.140625" style="1" bestFit="1" customWidth="1"/>
    <col min="14850" max="14850" width="11.42578125" style="1" customWidth="1"/>
    <col min="14851" max="14851" width="11.7109375" style="1" bestFit="1" customWidth="1"/>
    <col min="14852" max="14852" width="14.85546875" style="1" bestFit="1" customWidth="1"/>
    <col min="14853" max="14853" width="13.28515625" style="1" bestFit="1" customWidth="1"/>
    <col min="14854" max="14854" width="5.85546875" style="1" customWidth="1"/>
    <col min="14855" max="14855" width="11.42578125" style="1" customWidth="1"/>
    <col min="14856" max="15102" width="0" style="1" hidden="1"/>
    <col min="15103" max="15103" width="6.28515625" style="1" customWidth="1"/>
    <col min="15104" max="15104" width="37.140625" style="1" customWidth="1"/>
    <col min="15105" max="15105" width="8.140625" style="1" bestFit="1" customWidth="1"/>
    <col min="15106" max="15106" width="11.42578125" style="1" customWidth="1"/>
    <col min="15107" max="15107" width="11.7109375" style="1" bestFit="1" customWidth="1"/>
    <col min="15108" max="15108" width="14.85546875" style="1" bestFit="1" customWidth="1"/>
    <col min="15109" max="15109" width="13.28515625" style="1" bestFit="1" customWidth="1"/>
    <col min="15110" max="15110" width="5.85546875" style="1" customWidth="1"/>
    <col min="15111" max="15111" width="11.42578125" style="1" customWidth="1"/>
    <col min="15112" max="15358" width="0" style="1" hidden="1"/>
    <col min="15359" max="15359" width="6.28515625" style="1" customWidth="1"/>
    <col min="15360" max="15360" width="37.140625" style="1" customWidth="1"/>
    <col min="15361" max="15361" width="8.140625" style="1" bestFit="1" customWidth="1"/>
    <col min="15362" max="15362" width="11.42578125" style="1" customWidth="1"/>
    <col min="15363" max="15363" width="11.7109375" style="1" bestFit="1" customWidth="1"/>
    <col min="15364" max="15364" width="14.85546875" style="1" bestFit="1" customWidth="1"/>
    <col min="15365" max="15365" width="13.28515625" style="1" bestFit="1" customWidth="1"/>
    <col min="15366" max="15366" width="5.85546875" style="1" customWidth="1"/>
    <col min="15367" max="15367" width="11.42578125" style="1" customWidth="1"/>
    <col min="15368" max="15614" width="0" style="1" hidden="1"/>
    <col min="15615" max="15615" width="6.28515625" style="1" customWidth="1"/>
    <col min="15616" max="15616" width="37.140625" style="1" customWidth="1"/>
    <col min="15617" max="15617" width="8.140625" style="1" bestFit="1" customWidth="1"/>
    <col min="15618" max="15618" width="11.42578125" style="1" customWidth="1"/>
    <col min="15619" max="15619" width="11.7109375" style="1" bestFit="1" customWidth="1"/>
    <col min="15620" max="15620" width="14.85546875" style="1" bestFit="1" customWidth="1"/>
    <col min="15621" max="15621" width="13.28515625" style="1" bestFit="1" customWidth="1"/>
    <col min="15622" max="15622" width="5.85546875" style="1" customWidth="1"/>
    <col min="15623" max="15623" width="11.42578125" style="1" customWidth="1"/>
    <col min="15624" max="15870" width="0" style="1" hidden="1"/>
    <col min="15871" max="15871" width="6.28515625" style="1" customWidth="1"/>
    <col min="15872" max="15872" width="37.140625" style="1" customWidth="1"/>
    <col min="15873" max="15873" width="8.140625" style="1" bestFit="1" customWidth="1"/>
    <col min="15874" max="15874" width="11.42578125" style="1" customWidth="1"/>
    <col min="15875" max="15875" width="11.7109375" style="1" bestFit="1" customWidth="1"/>
    <col min="15876" max="15876" width="14.85546875" style="1" bestFit="1" customWidth="1"/>
    <col min="15877" max="15877" width="13.28515625" style="1" bestFit="1" customWidth="1"/>
    <col min="15878" max="15878" width="5.85546875" style="1" customWidth="1"/>
    <col min="15879" max="15879" width="11.42578125" style="1" customWidth="1"/>
    <col min="15880" max="16384" width="0" style="1" hidden="1"/>
  </cols>
  <sheetData>
    <row r="1" spans="1:14" ht="15.75" x14ac:dyDescent="0.25">
      <c r="B1" s="2"/>
      <c r="C1" s="3"/>
    </row>
    <row r="2" spans="1:14" ht="20.100000000000001" customHeight="1" x14ac:dyDescent="0.2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20.100000000000001" customHeight="1" x14ac:dyDescent="0.25">
      <c r="A3" s="4"/>
      <c r="B3" s="23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20.100000000000001" customHeight="1" x14ac:dyDescent="0.25">
      <c r="A4" s="4"/>
      <c r="B4" s="23" t="s">
        <v>142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.75" x14ac:dyDescent="0.25">
      <c r="A5" s="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22.5" customHeight="1" x14ac:dyDescent="0.2">
      <c r="A6" s="4"/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137</v>
      </c>
      <c r="J6" s="22" t="s">
        <v>138</v>
      </c>
      <c r="K6" s="22" t="s">
        <v>139</v>
      </c>
      <c r="L6" s="22" t="s">
        <v>9</v>
      </c>
      <c r="M6" s="22" t="s">
        <v>10</v>
      </c>
      <c r="N6" s="22" t="s">
        <v>136</v>
      </c>
    </row>
    <row r="7" spans="1:14" ht="15" customHeight="1" x14ac:dyDescent="0.2">
      <c r="A7" s="4"/>
      <c r="B7" s="22"/>
      <c r="C7" s="22"/>
      <c r="D7" s="22" t="s">
        <v>11</v>
      </c>
      <c r="E7" s="22" t="s">
        <v>11</v>
      </c>
      <c r="F7" s="22"/>
      <c r="G7" s="22" t="s">
        <v>11</v>
      </c>
      <c r="H7" s="22" t="s">
        <v>11</v>
      </c>
      <c r="I7" s="22"/>
      <c r="J7" s="22"/>
      <c r="K7" s="22"/>
      <c r="L7" s="22"/>
      <c r="M7" s="22"/>
      <c r="N7" s="22"/>
    </row>
    <row r="8" spans="1:14" ht="24.75" customHeight="1" x14ac:dyDescent="0.2">
      <c r="A8" s="4"/>
      <c r="B8" s="22"/>
      <c r="C8" s="22"/>
      <c r="D8" s="22" t="s">
        <v>12</v>
      </c>
      <c r="E8" s="22" t="s">
        <v>12</v>
      </c>
      <c r="F8" s="22"/>
      <c r="G8" s="22" t="s">
        <v>12</v>
      </c>
      <c r="H8" s="22" t="s">
        <v>12</v>
      </c>
      <c r="I8" s="22"/>
      <c r="J8" s="22"/>
      <c r="K8" s="22"/>
      <c r="L8" s="22"/>
      <c r="M8" s="22"/>
      <c r="N8" s="22"/>
    </row>
    <row r="9" spans="1:14" ht="24.75" customHeight="1" x14ac:dyDescent="0.2">
      <c r="A9" s="4"/>
      <c r="B9" s="5" t="s">
        <v>13</v>
      </c>
      <c r="C9" s="6"/>
      <c r="D9" s="6"/>
      <c r="E9" s="6"/>
      <c r="F9" s="6"/>
      <c r="G9" s="6"/>
      <c r="H9" s="6"/>
      <c r="I9" s="21">
        <v>1.0511999999999999</v>
      </c>
      <c r="J9" s="21">
        <v>1.0261</v>
      </c>
      <c r="K9" s="21">
        <v>1.0726</v>
      </c>
      <c r="L9" s="21">
        <v>1.1462000000000001</v>
      </c>
      <c r="M9" s="20"/>
      <c r="N9" s="20"/>
    </row>
    <row r="10" spans="1:14" s="11" customFormat="1" ht="20.100000000000001" customHeight="1" x14ac:dyDescent="0.25">
      <c r="A10" s="7"/>
      <c r="B10" s="8" t="s">
        <v>14</v>
      </c>
      <c r="C10" s="9" t="s">
        <v>15</v>
      </c>
      <c r="D10" s="10">
        <v>6284494</v>
      </c>
      <c r="E10" s="10">
        <v>0</v>
      </c>
      <c r="F10" s="10">
        <v>0</v>
      </c>
      <c r="G10" s="10">
        <v>11172433</v>
      </c>
      <c r="H10" s="10">
        <v>0</v>
      </c>
      <c r="I10" s="10">
        <v>32428698</v>
      </c>
      <c r="J10" s="10">
        <v>0</v>
      </c>
      <c r="K10" s="10">
        <v>0</v>
      </c>
      <c r="L10" s="10">
        <v>0</v>
      </c>
      <c r="M10" s="10">
        <v>0</v>
      </c>
      <c r="N10" s="10">
        <f>SUM(D10:M10)</f>
        <v>49885625</v>
      </c>
    </row>
    <row r="11" spans="1:14" s="11" customFormat="1" ht="20.100000000000001" customHeight="1" x14ac:dyDescent="0.25">
      <c r="A11" s="7"/>
      <c r="B11" s="8" t="s">
        <v>16</v>
      </c>
      <c r="C11" s="9" t="s">
        <v>17</v>
      </c>
      <c r="D11" s="10">
        <v>6284494</v>
      </c>
      <c r="E11" s="10">
        <v>0</v>
      </c>
      <c r="F11" s="10">
        <v>0</v>
      </c>
      <c r="G11" s="10">
        <v>11172433</v>
      </c>
      <c r="H11" s="10">
        <v>0</v>
      </c>
      <c r="I11" s="10">
        <v>32428698</v>
      </c>
      <c r="J11" s="10">
        <v>0</v>
      </c>
      <c r="K11" s="10">
        <v>0</v>
      </c>
      <c r="L11" s="10">
        <v>0</v>
      </c>
      <c r="M11" s="10">
        <v>0</v>
      </c>
      <c r="N11" s="10">
        <f t="shared" ref="N11:N19" si="0">SUM(D11:M11)</f>
        <v>49885625</v>
      </c>
    </row>
    <row r="12" spans="1:14" s="11" customFormat="1" ht="20.100000000000001" customHeight="1" x14ac:dyDescent="0.25">
      <c r="A12" s="7"/>
      <c r="B12" s="8" t="s">
        <v>18</v>
      </c>
      <c r="C12" s="9" t="s">
        <v>19</v>
      </c>
      <c r="D12" s="10">
        <v>6284494</v>
      </c>
      <c r="E12" s="10">
        <v>0</v>
      </c>
      <c r="F12" s="10">
        <v>0</v>
      </c>
      <c r="G12" s="10">
        <v>11172433</v>
      </c>
      <c r="H12" s="10">
        <v>0</v>
      </c>
      <c r="I12" s="10">
        <v>32428698</v>
      </c>
      <c r="J12" s="10">
        <v>0</v>
      </c>
      <c r="K12" s="10">
        <v>0</v>
      </c>
      <c r="L12" s="10">
        <v>0</v>
      </c>
      <c r="M12" s="10">
        <v>0</v>
      </c>
      <c r="N12" s="10">
        <f t="shared" si="0"/>
        <v>49885625</v>
      </c>
    </row>
    <row r="13" spans="1:14" s="11" customFormat="1" ht="20.100000000000001" customHeight="1" x14ac:dyDescent="0.25">
      <c r="A13" s="7"/>
      <c r="B13" s="8" t="s">
        <v>20</v>
      </c>
      <c r="C13" s="9" t="s">
        <v>21</v>
      </c>
      <c r="D13" s="10">
        <f>ROUND(7646782*$L$9,0)</f>
        <v>8764742</v>
      </c>
      <c r="E13" s="10">
        <v>0</v>
      </c>
      <c r="F13" s="10">
        <v>0</v>
      </c>
      <c r="G13" s="10">
        <f>ROUND(7646774*$L$9,0)</f>
        <v>8764732</v>
      </c>
      <c r="H13" s="10">
        <f>ROUND(6713874*$L$9,0)</f>
        <v>7695442</v>
      </c>
      <c r="I13" s="10">
        <v>0</v>
      </c>
      <c r="J13" s="10">
        <v>0</v>
      </c>
      <c r="K13" s="10">
        <f>ROUND(4098675*$L$9,0)</f>
        <v>4697901</v>
      </c>
      <c r="L13" s="10">
        <v>0</v>
      </c>
      <c r="M13" s="10">
        <v>0</v>
      </c>
      <c r="N13" s="10">
        <f t="shared" si="0"/>
        <v>29922817</v>
      </c>
    </row>
    <row r="14" spans="1:14" s="11" customFormat="1" ht="20.100000000000001" customHeight="1" x14ac:dyDescent="0.25">
      <c r="A14" s="7"/>
      <c r="B14" s="8" t="s">
        <v>22</v>
      </c>
      <c r="C14" s="9" t="s">
        <v>23</v>
      </c>
      <c r="D14" s="10">
        <f t="shared" ref="D14:D16" si="1">ROUND(7646782*$L$9,0)</f>
        <v>8764742</v>
      </c>
      <c r="E14" s="10">
        <v>0</v>
      </c>
      <c r="F14" s="10">
        <v>0</v>
      </c>
      <c r="G14" s="10">
        <f t="shared" ref="G14:G15" si="2">ROUND(7646774*$L$9,0)</f>
        <v>8764732</v>
      </c>
      <c r="H14" s="10">
        <f t="shared" ref="H14:H16" si="3">ROUND(6713874*$L$9,0)</f>
        <v>7695442</v>
      </c>
      <c r="I14" s="10">
        <v>0</v>
      </c>
      <c r="J14" s="10">
        <v>0</v>
      </c>
      <c r="K14" s="10">
        <f t="shared" ref="K14:K16" si="4">ROUND(4098675*$L$9,0)</f>
        <v>4697901</v>
      </c>
      <c r="L14" s="10">
        <v>0</v>
      </c>
      <c r="M14" s="10">
        <v>0</v>
      </c>
      <c r="N14" s="10">
        <f t="shared" si="0"/>
        <v>29922817</v>
      </c>
    </row>
    <row r="15" spans="1:14" s="11" customFormat="1" ht="20.100000000000001" customHeight="1" x14ac:dyDescent="0.25">
      <c r="A15" s="7"/>
      <c r="B15" s="8" t="s">
        <v>24</v>
      </c>
      <c r="C15" s="9" t="s">
        <v>25</v>
      </c>
      <c r="D15" s="10">
        <f t="shared" si="1"/>
        <v>8764742</v>
      </c>
      <c r="E15" s="10">
        <v>0</v>
      </c>
      <c r="F15" s="10">
        <v>0</v>
      </c>
      <c r="G15" s="10">
        <f t="shared" si="2"/>
        <v>8764732</v>
      </c>
      <c r="H15" s="10">
        <f t="shared" si="3"/>
        <v>7695442</v>
      </c>
      <c r="I15" s="10">
        <v>0</v>
      </c>
      <c r="J15" s="10">
        <v>0</v>
      </c>
      <c r="K15" s="10">
        <f t="shared" si="4"/>
        <v>4697901</v>
      </c>
      <c r="L15" s="10">
        <v>0</v>
      </c>
      <c r="M15" s="10">
        <v>0</v>
      </c>
      <c r="N15" s="10">
        <f t="shared" si="0"/>
        <v>29922817</v>
      </c>
    </row>
    <row r="16" spans="1:14" s="11" customFormat="1" ht="20.100000000000001" customHeight="1" x14ac:dyDescent="0.25">
      <c r="A16" s="7"/>
      <c r="B16" s="8" t="s">
        <v>26</v>
      </c>
      <c r="C16" s="9" t="s">
        <v>27</v>
      </c>
      <c r="D16" s="10">
        <f t="shared" si="1"/>
        <v>8764742</v>
      </c>
      <c r="E16" s="10">
        <v>0</v>
      </c>
      <c r="F16" s="10">
        <v>0</v>
      </c>
      <c r="G16" s="10">
        <f>ROUND(7646774*$L$9,0)</f>
        <v>8764732</v>
      </c>
      <c r="H16" s="10">
        <f t="shared" si="3"/>
        <v>7695442</v>
      </c>
      <c r="I16" s="10">
        <v>0</v>
      </c>
      <c r="J16" s="10">
        <v>0</v>
      </c>
      <c r="K16" s="10">
        <f t="shared" si="4"/>
        <v>4697901</v>
      </c>
      <c r="L16" s="10">
        <v>0</v>
      </c>
      <c r="M16" s="10">
        <v>0</v>
      </c>
      <c r="N16" s="10">
        <f t="shared" si="0"/>
        <v>29922817</v>
      </c>
    </row>
    <row r="17" spans="1:14" s="11" customFormat="1" ht="20.100000000000001" customHeight="1" x14ac:dyDescent="0.25">
      <c r="A17" s="7"/>
      <c r="B17" s="8" t="s">
        <v>28</v>
      </c>
      <c r="C17" s="9" t="s">
        <v>29</v>
      </c>
      <c r="D17" s="10">
        <f>ROUND(7467698*$L$9,0)</f>
        <v>8559475</v>
      </c>
      <c r="E17" s="10">
        <v>0</v>
      </c>
      <c r="F17" s="10">
        <v>0</v>
      </c>
      <c r="G17" s="10">
        <f>ROUND(5829488*$L$9,0)</f>
        <v>6681759</v>
      </c>
      <c r="H17" s="10">
        <v>0</v>
      </c>
      <c r="I17" s="10">
        <v>0</v>
      </c>
      <c r="J17" s="10">
        <v>0</v>
      </c>
      <c r="K17" s="10">
        <f>ROUND(1822831*$L$9,0)</f>
        <v>2089329</v>
      </c>
      <c r="L17" s="10">
        <v>0</v>
      </c>
      <c r="M17" s="10">
        <v>0</v>
      </c>
      <c r="N17" s="10">
        <f t="shared" si="0"/>
        <v>17330563</v>
      </c>
    </row>
    <row r="18" spans="1:14" s="11" customFormat="1" ht="20.100000000000001" customHeight="1" x14ac:dyDescent="0.25">
      <c r="A18" s="7"/>
      <c r="B18" s="8" t="s">
        <v>30</v>
      </c>
      <c r="C18" s="9" t="s">
        <v>31</v>
      </c>
      <c r="D18" s="10">
        <f>ROUND(5830324*$L$9,0)</f>
        <v>6682717</v>
      </c>
      <c r="E18" s="10">
        <v>0</v>
      </c>
      <c r="F18" s="10">
        <v>0</v>
      </c>
      <c r="G18" s="10">
        <f>ROUND(5830320*$L$9,0)</f>
        <v>6682713</v>
      </c>
      <c r="H18" s="10">
        <v>0</v>
      </c>
      <c r="I18" s="10">
        <v>0</v>
      </c>
      <c r="J18" s="10">
        <v>0</v>
      </c>
      <c r="K18" s="10">
        <f>ROUND(3200170*$L$9,0)</f>
        <v>3668035</v>
      </c>
      <c r="L18" s="10">
        <v>0</v>
      </c>
      <c r="M18" s="10">
        <v>0</v>
      </c>
      <c r="N18" s="10">
        <f t="shared" si="0"/>
        <v>17033465</v>
      </c>
    </row>
    <row r="19" spans="1:14" s="11" customFormat="1" ht="20.100000000000001" customHeight="1" x14ac:dyDescent="0.25">
      <c r="A19" s="7"/>
      <c r="B19" s="8" t="s">
        <v>32</v>
      </c>
      <c r="C19" s="9" t="s">
        <v>33</v>
      </c>
      <c r="D19" s="10">
        <f>ROUND(5063966*$L$9,0)</f>
        <v>5804318</v>
      </c>
      <c r="E19" s="10">
        <v>0</v>
      </c>
      <c r="F19" s="10">
        <v>0</v>
      </c>
      <c r="G19" s="10">
        <f>ROUND(5063962*$L$9,0)</f>
        <v>5804313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11608631</v>
      </c>
    </row>
    <row r="20" spans="1:14" s="11" customFormat="1" ht="20.100000000000001" customHeight="1" x14ac:dyDescent="0.25">
      <c r="A20" s="7"/>
      <c r="B20" s="5" t="s">
        <v>34</v>
      </c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</row>
    <row r="21" spans="1:14" s="11" customFormat="1" ht="20.100000000000001" customHeight="1" x14ac:dyDescent="0.25">
      <c r="A21" s="7"/>
      <c r="B21" s="8" t="s">
        <v>35</v>
      </c>
      <c r="C21" s="9" t="s">
        <v>36</v>
      </c>
      <c r="D21" s="10">
        <f>ROUND(14864856*$L$9,0)</f>
        <v>17038098</v>
      </c>
      <c r="E21" s="10">
        <v>0</v>
      </c>
      <c r="F21" s="10">
        <v>0</v>
      </c>
      <c r="G21" s="10">
        <v>0</v>
      </c>
      <c r="H21" s="10">
        <f>ROUND(4459457*$L$9,0)</f>
        <v>5111430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 t="shared" ref="N21:N30" si="5">SUM(D21:M21)</f>
        <v>22149528</v>
      </c>
    </row>
    <row r="22" spans="1:14" s="11" customFormat="1" ht="20.100000000000001" customHeight="1" x14ac:dyDescent="0.25">
      <c r="A22" s="7"/>
      <c r="B22" s="8" t="s">
        <v>37</v>
      </c>
      <c r="C22" s="9" t="s">
        <v>38</v>
      </c>
      <c r="D22" s="10">
        <f>ROUND(14864856*$L$9,0)</f>
        <v>17038098</v>
      </c>
      <c r="E22" s="10">
        <v>0</v>
      </c>
      <c r="F22" s="10">
        <v>0</v>
      </c>
      <c r="G22" s="10">
        <v>0</v>
      </c>
      <c r="H22" s="10">
        <f>ROUND(4459457*$L$9,0)</f>
        <v>5111430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5"/>
        <v>22149528</v>
      </c>
    </row>
    <row r="23" spans="1:14" s="11" customFormat="1" ht="20.100000000000001" customHeight="1" x14ac:dyDescent="0.25">
      <c r="A23" s="7"/>
      <c r="B23" s="8" t="s">
        <v>39</v>
      </c>
      <c r="C23" s="9" t="s">
        <v>40</v>
      </c>
      <c r="D23" s="10">
        <f>ROUND(13364328*$L$9,0)</f>
        <v>15318193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5"/>
        <v>15318193</v>
      </c>
    </row>
    <row r="24" spans="1:14" s="11" customFormat="1" ht="20.100000000000001" customHeight="1" x14ac:dyDescent="0.25">
      <c r="A24" s="7"/>
      <c r="B24" s="8" t="s">
        <v>39</v>
      </c>
      <c r="C24" s="9" t="s">
        <v>41</v>
      </c>
      <c r="D24" s="10">
        <f>ROUND(11665488*$L$9,0)</f>
        <v>13370982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f t="shared" si="5"/>
        <v>13370982</v>
      </c>
    </row>
    <row r="25" spans="1:14" s="11" customFormat="1" ht="20.100000000000001" customHeight="1" x14ac:dyDescent="0.25">
      <c r="A25" s="7"/>
      <c r="B25" s="8" t="s">
        <v>39</v>
      </c>
      <c r="C25" s="9" t="s">
        <v>42</v>
      </c>
      <c r="D25" s="10">
        <f>ROUND(9614817*$L$9,0)</f>
        <v>11020503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f t="shared" si="5"/>
        <v>11020503</v>
      </c>
    </row>
    <row r="26" spans="1:14" s="11" customFormat="1" ht="20.100000000000001" customHeight="1" x14ac:dyDescent="0.25">
      <c r="A26" s="7"/>
      <c r="B26" s="8" t="s">
        <v>43</v>
      </c>
      <c r="C26" s="9" t="s">
        <v>42</v>
      </c>
      <c r="D26" s="10">
        <f>ROUND(5151631*$L$9,0)</f>
        <v>5904799</v>
      </c>
      <c r="E26" s="10">
        <f>ROUND(7724469*$L$9,0)</f>
        <v>8853786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6">
        <f t="shared" si="5"/>
        <v>14758585</v>
      </c>
    </row>
    <row r="27" spans="1:14" s="11" customFormat="1" ht="20.100000000000001" customHeight="1" x14ac:dyDescent="0.25">
      <c r="A27" s="7"/>
      <c r="B27" s="14" t="s">
        <v>39</v>
      </c>
      <c r="C27" s="15" t="s">
        <v>44</v>
      </c>
      <c r="D27" s="16">
        <f>ROUND(8935093*$L$9,0)</f>
        <v>10241404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5"/>
        <v>10241404</v>
      </c>
    </row>
    <row r="28" spans="1:14" s="11" customFormat="1" ht="20.100000000000001" customHeight="1" x14ac:dyDescent="0.25">
      <c r="A28" s="7"/>
      <c r="B28" s="8" t="s">
        <v>43</v>
      </c>
      <c r="C28" s="9" t="s">
        <v>44</v>
      </c>
      <c r="D28" s="10">
        <f>ROUND(4758652*$L$9,0)</f>
        <v>5454367</v>
      </c>
      <c r="E28" s="10">
        <f>ROUND(7135227*$L$9,0)</f>
        <v>8178397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6">
        <f t="shared" si="5"/>
        <v>13632764</v>
      </c>
    </row>
    <row r="29" spans="1:14" s="11" customFormat="1" ht="20.100000000000001" customHeight="1" x14ac:dyDescent="0.25">
      <c r="A29" s="7"/>
      <c r="B29" s="14" t="s">
        <v>39</v>
      </c>
      <c r="C29" s="15" t="s">
        <v>45</v>
      </c>
      <c r="D29" s="16">
        <f>ROUND(7650375*$L$9,0)</f>
        <v>8768860</v>
      </c>
      <c r="E29" s="10">
        <v>0</v>
      </c>
      <c r="F29" s="10">
        <f>ROUND(D29*5.15%,0)</f>
        <v>451596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f t="shared" si="5"/>
        <v>9220456</v>
      </c>
    </row>
    <row r="30" spans="1:14" s="11" customFormat="1" ht="20.100000000000001" customHeight="1" x14ac:dyDescent="0.25">
      <c r="A30" s="7"/>
      <c r="B30" s="14" t="s">
        <v>43</v>
      </c>
      <c r="C30" s="15" t="s">
        <v>45</v>
      </c>
      <c r="D30" s="16">
        <f>ROUND(4124230*$L$9,0)</f>
        <v>4727192</v>
      </c>
      <c r="E30" s="10">
        <f>ROUND(6183961*$L$9,0)</f>
        <v>7088056</v>
      </c>
      <c r="F30" s="10">
        <f>ROUND(D30*5.15%,0)</f>
        <v>243450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6">
        <f t="shared" si="5"/>
        <v>12058698</v>
      </c>
    </row>
    <row r="31" spans="1:14" s="11" customFormat="1" ht="20.100000000000001" customHeight="1" x14ac:dyDescent="0.25">
      <c r="A31" s="7"/>
      <c r="B31" s="5" t="s">
        <v>46</v>
      </c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3"/>
      <c r="N31" s="13"/>
    </row>
    <row r="32" spans="1:14" s="11" customFormat="1" ht="20.100000000000001" customHeight="1" x14ac:dyDescent="0.25">
      <c r="A32" s="7"/>
      <c r="B32" s="8" t="s">
        <v>47</v>
      </c>
      <c r="C32" s="9" t="s">
        <v>48</v>
      </c>
      <c r="D32" s="10">
        <f>ROUND(13290242*$L$9,0)</f>
        <v>15233275</v>
      </c>
      <c r="E32" s="10">
        <v>0</v>
      </c>
      <c r="F32" s="10">
        <v>0</v>
      </c>
      <c r="G32" s="10">
        <v>0</v>
      </c>
      <c r="H32" s="10">
        <f>ROUND(3987071*$L$9,0)</f>
        <v>4569981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ref="N32:N33" si="6">SUM(D32:M32)</f>
        <v>19803256</v>
      </c>
    </row>
    <row r="33" spans="1:14" s="11" customFormat="1" ht="20.100000000000001" customHeight="1" x14ac:dyDescent="0.25">
      <c r="A33" s="7"/>
      <c r="B33" s="8" t="s">
        <v>49</v>
      </c>
      <c r="C33" s="9" t="s">
        <v>50</v>
      </c>
      <c r="D33" s="10">
        <f>ROUND(8935093*$L$9,0)</f>
        <v>10241404</v>
      </c>
      <c r="E33" s="10">
        <v>0</v>
      </c>
      <c r="F33" s="10">
        <f>ROUND(D33*5.15%,0)</f>
        <v>527432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f t="shared" si="6"/>
        <v>10768836</v>
      </c>
    </row>
    <row r="34" spans="1:14" s="11" customFormat="1" ht="20.100000000000001" customHeight="1" x14ac:dyDescent="0.25">
      <c r="A34" s="7"/>
      <c r="B34" s="5" t="s">
        <v>51</v>
      </c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3"/>
    </row>
    <row r="35" spans="1:14" s="11" customFormat="1" ht="20.100000000000001" customHeight="1" x14ac:dyDescent="0.25">
      <c r="A35" s="7"/>
      <c r="B35" s="8" t="s">
        <v>52</v>
      </c>
      <c r="C35" s="9" t="s">
        <v>53</v>
      </c>
      <c r="D35" s="10">
        <v>15120951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>ROUND(D35*30%,0)-1</f>
        <v>4536284</v>
      </c>
      <c r="K35" s="10">
        <v>0</v>
      </c>
      <c r="L35" s="10">
        <v>0</v>
      </c>
      <c r="M35" s="10">
        <v>17912817</v>
      </c>
      <c r="N35" s="10">
        <f t="shared" ref="N35:N44" si="7">SUM(D35:M35)</f>
        <v>37570052</v>
      </c>
    </row>
    <row r="36" spans="1:14" s="11" customFormat="1" ht="20.100000000000001" customHeight="1" x14ac:dyDescent="0.25">
      <c r="A36" s="7"/>
      <c r="B36" s="8" t="s">
        <v>54</v>
      </c>
      <c r="C36" s="9" t="s">
        <v>55</v>
      </c>
      <c r="D36" s="10">
        <f>ROUND(9166738*$L$9,0)</f>
        <v>10506915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>ROUND(D36*30%,0)</f>
        <v>3152075</v>
      </c>
      <c r="K36" s="10">
        <v>0</v>
      </c>
      <c r="L36" s="10">
        <v>4215094</v>
      </c>
      <c r="M36" s="10">
        <v>0</v>
      </c>
      <c r="N36" s="10">
        <f t="shared" si="7"/>
        <v>17874084</v>
      </c>
    </row>
    <row r="37" spans="1:14" s="11" customFormat="1" ht="20.100000000000001" customHeight="1" x14ac:dyDescent="0.25">
      <c r="A37" s="7"/>
      <c r="B37" s="8" t="s">
        <v>54</v>
      </c>
      <c r="C37" s="9" t="s">
        <v>55</v>
      </c>
      <c r="D37" s="10">
        <f>ROUND(9166738*$L$9,0)</f>
        <v>10506915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>ROUND(D37*30%,0)</f>
        <v>3152075</v>
      </c>
      <c r="K37" s="10">
        <v>0</v>
      </c>
      <c r="L37" s="10">
        <v>4527367</v>
      </c>
      <c r="M37" s="10">
        <v>0</v>
      </c>
      <c r="N37" s="10">
        <f t="shared" ref="N37" si="8">SUM(D37:M37)</f>
        <v>18186357</v>
      </c>
    </row>
    <row r="38" spans="1:14" s="11" customFormat="1" ht="20.100000000000001" customHeight="1" x14ac:dyDescent="0.25">
      <c r="A38" s="7"/>
      <c r="B38" s="8" t="s">
        <v>56</v>
      </c>
      <c r="C38" s="9" t="s">
        <v>57</v>
      </c>
      <c r="D38" s="10">
        <f>ROUND(7093958*$L$9,0)</f>
        <v>8131095</v>
      </c>
      <c r="E38" s="10">
        <v>0</v>
      </c>
      <c r="F38" s="10">
        <f t="shared" ref="F38:F44" si="9">ROUND(D38*5.15%,0)</f>
        <v>418751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7"/>
        <v>8549846</v>
      </c>
    </row>
    <row r="39" spans="1:14" s="11" customFormat="1" ht="20.100000000000001" customHeight="1" x14ac:dyDescent="0.25">
      <c r="A39" s="7"/>
      <c r="B39" s="14" t="s">
        <v>58</v>
      </c>
      <c r="C39" s="15" t="s">
        <v>57</v>
      </c>
      <c r="D39" s="16">
        <f>ROUND(3858090*$L$9,0)</f>
        <v>4422143</v>
      </c>
      <c r="E39" s="16">
        <f>ROUND(5784905*$L$9,0)</f>
        <v>6630658</v>
      </c>
      <c r="F39" s="10">
        <f t="shared" si="9"/>
        <v>227740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6">
        <f t="shared" si="7"/>
        <v>11280541</v>
      </c>
    </row>
    <row r="40" spans="1:14" s="11" customFormat="1" ht="20.100000000000001" customHeight="1" x14ac:dyDescent="0.25">
      <c r="A40" s="7"/>
      <c r="B40" s="14" t="s">
        <v>56</v>
      </c>
      <c r="C40" s="15" t="s">
        <v>59</v>
      </c>
      <c r="D40" s="16">
        <f>ROUND(6597924*$L$9,0)</f>
        <v>7562540</v>
      </c>
      <c r="E40" s="10">
        <v>0</v>
      </c>
      <c r="F40" s="10">
        <f t="shared" si="9"/>
        <v>389471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f t="shared" si="7"/>
        <v>7952011</v>
      </c>
    </row>
    <row r="41" spans="1:14" s="11" customFormat="1" ht="20.100000000000001" customHeight="1" x14ac:dyDescent="0.25">
      <c r="A41" s="7"/>
      <c r="B41" s="14" t="s">
        <v>58</v>
      </c>
      <c r="C41" s="15" t="s">
        <v>59</v>
      </c>
      <c r="D41" s="16">
        <f>ROUND(3724082*$L$9,0)</f>
        <v>4268543</v>
      </c>
      <c r="E41" s="16">
        <f>ROUND(5583970*$L$9,0)</f>
        <v>6400346</v>
      </c>
      <c r="F41" s="10">
        <f t="shared" si="9"/>
        <v>219830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6">
        <f t="shared" si="7"/>
        <v>10888719</v>
      </c>
    </row>
    <row r="42" spans="1:14" s="11" customFormat="1" ht="20.100000000000001" customHeight="1" x14ac:dyDescent="0.25">
      <c r="A42" s="7"/>
      <c r="B42" s="14" t="s">
        <v>56</v>
      </c>
      <c r="C42" s="15" t="s">
        <v>60</v>
      </c>
      <c r="D42" s="16">
        <f>ROUND(5066564*$L$9,0)</f>
        <v>5807296</v>
      </c>
      <c r="E42" s="10">
        <v>0</v>
      </c>
      <c r="F42" s="10">
        <f t="shared" si="9"/>
        <v>299076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7"/>
        <v>6106372</v>
      </c>
    </row>
    <row r="43" spans="1:14" s="11" customFormat="1" ht="20.100000000000001" customHeight="1" x14ac:dyDescent="0.25">
      <c r="A43" s="7"/>
      <c r="B43" s="14" t="s">
        <v>58</v>
      </c>
      <c r="C43" s="15" t="s">
        <v>60</v>
      </c>
      <c r="D43" s="16">
        <f>ROUND(2919396*$L$9,0)</f>
        <v>3346212</v>
      </c>
      <c r="E43" s="16">
        <f>ROUND(4377407*$L$9,0)</f>
        <v>5017384</v>
      </c>
      <c r="F43" s="10">
        <f t="shared" si="9"/>
        <v>172330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6">
        <f t="shared" si="7"/>
        <v>8535926</v>
      </c>
    </row>
    <row r="44" spans="1:14" s="11" customFormat="1" ht="20.100000000000001" customHeight="1" x14ac:dyDescent="0.25">
      <c r="A44" s="7"/>
      <c r="B44" s="8" t="s">
        <v>61</v>
      </c>
      <c r="C44" s="9" t="s">
        <v>62</v>
      </c>
      <c r="D44" s="10">
        <f>ROUND(6597924*$L$9,0)</f>
        <v>7562540</v>
      </c>
      <c r="E44" s="10">
        <v>0</v>
      </c>
      <c r="F44" s="10">
        <f t="shared" si="9"/>
        <v>389471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f t="shared" si="7"/>
        <v>7952011</v>
      </c>
    </row>
    <row r="45" spans="1:14" s="11" customFormat="1" ht="20.100000000000001" customHeight="1" x14ac:dyDescent="0.25">
      <c r="A45" s="7"/>
      <c r="B45" s="5" t="s">
        <v>63</v>
      </c>
      <c r="C45" s="6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3"/>
    </row>
    <row r="46" spans="1:14" s="11" customFormat="1" ht="20.100000000000001" customHeight="1" x14ac:dyDescent="0.25">
      <c r="A46" s="7"/>
      <c r="B46" s="8" t="s">
        <v>64</v>
      </c>
      <c r="C46" s="9" t="s">
        <v>65</v>
      </c>
      <c r="D46" s="10">
        <f>ROUND(7650375*$L$9,0)</f>
        <v>8768860</v>
      </c>
      <c r="E46" s="10">
        <v>0</v>
      </c>
      <c r="F46" s="10">
        <f t="shared" ref="F46:F76" si="10">ROUND(D46*5.15%,0)</f>
        <v>451596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ref="N46:N76" si="11">SUM(D46:M46)</f>
        <v>9220456</v>
      </c>
    </row>
    <row r="47" spans="1:14" s="11" customFormat="1" ht="20.100000000000001" customHeight="1" x14ac:dyDescent="0.25">
      <c r="A47" s="7"/>
      <c r="B47" s="8" t="s">
        <v>64</v>
      </c>
      <c r="C47" s="9" t="s">
        <v>66</v>
      </c>
      <c r="D47" s="10">
        <f>ROUND(6597924*$L$9,0)</f>
        <v>7562540</v>
      </c>
      <c r="E47" s="10">
        <v>0</v>
      </c>
      <c r="F47" s="10">
        <f t="shared" si="10"/>
        <v>389471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f t="shared" si="11"/>
        <v>7952011</v>
      </c>
    </row>
    <row r="48" spans="1:14" s="11" customFormat="1" ht="20.100000000000001" customHeight="1" x14ac:dyDescent="0.25">
      <c r="A48" s="7"/>
      <c r="B48" s="8" t="s">
        <v>64</v>
      </c>
      <c r="C48" s="9" t="s">
        <v>67</v>
      </c>
      <c r="D48" s="10">
        <f>ROUND(5066564*$L$9,0)</f>
        <v>5807296</v>
      </c>
      <c r="E48" s="10">
        <v>0</v>
      </c>
      <c r="F48" s="10">
        <f t="shared" si="10"/>
        <v>299076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11"/>
        <v>6106372</v>
      </c>
    </row>
    <row r="49" spans="1:14" s="11" customFormat="1" ht="20.100000000000001" customHeight="1" x14ac:dyDescent="0.25">
      <c r="A49" s="7"/>
      <c r="B49" s="8" t="s">
        <v>64</v>
      </c>
      <c r="C49" s="9" t="s">
        <v>68</v>
      </c>
      <c r="D49" s="10">
        <f>ROUND(3989161*$L$9,0)</f>
        <v>4572376</v>
      </c>
      <c r="E49" s="10">
        <v>0</v>
      </c>
      <c r="F49" s="10">
        <f t="shared" si="10"/>
        <v>235477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11"/>
        <v>4807853</v>
      </c>
    </row>
    <row r="50" spans="1:14" s="11" customFormat="1" ht="20.100000000000001" customHeight="1" x14ac:dyDescent="0.25">
      <c r="A50" s="7"/>
      <c r="B50" s="8" t="s">
        <v>69</v>
      </c>
      <c r="C50" s="9" t="s">
        <v>70</v>
      </c>
      <c r="D50" s="10">
        <f>ROUND(7650375*$L$9,0)</f>
        <v>8768860</v>
      </c>
      <c r="E50" s="10">
        <v>0</v>
      </c>
      <c r="F50" s="10">
        <f t="shared" si="10"/>
        <v>451596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11"/>
        <v>9220456</v>
      </c>
    </row>
    <row r="51" spans="1:14" s="11" customFormat="1" ht="20.100000000000001" customHeight="1" x14ac:dyDescent="0.25">
      <c r="A51" s="7"/>
      <c r="B51" s="8" t="s">
        <v>69</v>
      </c>
      <c r="C51" s="9" t="s">
        <v>71</v>
      </c>
      <c r="D51" s="10">
        <f>ROUND(6597924*$L$9,0)</f>
        <v>7562540</v>
      </c>
      <c r="E51" s="10">
        <v>0</v>
      </c>
      <c r="F51" s="10">
        <f t="shared" si="10"/>
        <v>389471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11"/>
        <v>7952011</v>
      </c>
    </row>
    <row r="52" spans="1:14" s="11" customFormat="1" ht="20.100000000000001" customHeight="1" x14ac:dyDescent="0.25">
      <c r="A52" s="7"/>
      <c r="B52" s="8" t="s">
        <v>69</v>
      </c>
      <c r="C52" s="9" t="s">
        <v>72</v>
      </c>
      <c r="D52" s="10">
        <f>ROUND(5066564*$L$9,0)</f>
        <v>5807296</v>
      </c>
      <c r="E52" s="10">
        <v>0</v>
      </c>
      <c r="F52" s="10">
        <f t="shared" si="10"/>
        <v>299076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11"/>
        <v>6106372</v>
      </c>
    </row>
    <row r="53" spans="1:14" s="11" customFormat="1" ht="20.100000000000001" customHeight="1" x14ac:dyDescent="0.25">
      <c r="A53" s="7"/>
      <c r="B53" s="8" t="s">
        <v>73</v>
      </c>
      <c r="C53" s="9" t="s">
        <v>74</v>
      </c>
      <c r="D53" s="10">
        <f>ROUND(4658434*$L$9,0)</f>
        <v>5339497</v>
      </c>
      <c r="E53" s="10">
        <v>0</v>
      </c>
      <c r="F53" s="10">
        <f t="shared" si="10"/>
        <v>274984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11"/>
        <v>5614481</v>
      </c>
    </row>
    <row r="54" spans="1:14" s="11" customFormat="1" ht="20.100000000000001" customHeight="1" x14ac:dyDescent="0.25">
      <c r="A54" s="7"/>
      <c r="B54" s="14" t="s">
        <v>75</v>
      </c>
      <c r="C54" s="15" t="s">
        <v>74</v>
      </c>
      <c r="D54" s="16">
        <f>ROUND(2431751*$L$9,0)</f>
        <v>2787273</v>
      </c>
      <c r="E54" s="16">
        <f>ROUND(3646221*$L$9,0)</f>
        <v>4179299</v>
      </c>
      <c r="F54" s="10">
        <f t="shared" si="10"/>
        <v>143545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6">
        <f t="shared" si="11"/>
        <v>7110117</v>
      </c>
    </row>
    <row r="55" spans="1:14" s="11" customFormat="1" ht="20.100000000000001" customHeight="1" x14ac:dyDescent="0.25">
      <c r="A55" s="7"/>
      <c r="B55" s="14" t="s">
        <v>73</v>
      </c>
      <c r="C55" s="15" t="s">
        <v>76</v>
      </c>
      <c r="D55" s="16">
        <f>ROUND(4299015*$L$9,0)</f>
        <v>4927531</v>
      </c>
      <c r="E55" s="10">
        <v>0</v>
      </c>
      <c r="F55" s="10">
        <f t="shared" si="10"/>
        <v>253768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11"/>
        <v>5181299</v>
      </c>
    </row>
    <row r="56" spans="1:14" s="11" customFormat="1" ht="20.100000000000001" customHeight="1" x14ac:dyDescent="0.25">
      <c r="A56" s="7"/>
      <c r="B56" s="14" t="s">
        <v>75</v>
      </c>
      <c r="C56" s="15" t="s">
        <v>76</v>
      </c>
      <c r="D56" s="16">
        <f>ROUND(2392306*$L$9,0)</f>
        <v>2742061</v>
      </c>
      <c r="E56" s="16">
        <f>ROUND(3587076*$L$9,0)</f>
        <v>4111507</v>
      </c>
      <c r="F56" s="10">
        <f t="shared" si="10"/>
        <v>141216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6">
        <f t="shared" si="11"/>
        <v>6994784</v>
      </c>
    </row>
    <row r="57" spans="1:14" s="11" customFormat="1" ht="20.100000000000001" customHeight="1" x14ac:dyDescent="0.25">
      <c r="A57" s="7"/>
      <c r="B57" s="14" t="s">
        <v>73</v>
      </c>
      <c r="C57" s="15" t="s">
        <v>77</v>
      </c>
      <c r="D57" s="16">
        <f>ROUND(3989161*$L$9,0)</f>
        <v>4572376</v>
      </c>
      <c r="E57" s="10">
        <v>0</v>
      </c>
      <c r="F57" s="10">
        <f t="shared" si="10"/>
        <v>235477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f t="shared" si="11"/>
        <v>4807853</v>
      </c>
    </row>
    <row r="58" spans="1:14" s="11" customFormat="1" ht="20.100000000000001" customHeight="1" x14ac:dyDescent="0.25">
      <c r="A58" s="7"/>
      <c r="B58" s="14" t="s">
        <v>75</v>
      </c>
      <c r="C58" s="15" t="s">
        <v>77</v>
      </c>
      <c r="D58" s="16">
        <f>ROUND(2284018*$L$9,0)</f>
        <v>2617941</v>
      </c>
      <c r="E58" s="16">
        <f>ROUND(3424707*$L$9,0)</f>
        <v>3925399</v>
      </c>
      <c r="F58" s="10">
        <f t="shared" si="10"/>
        <v>134824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6">
        <f t="shared" si="11"/>
        <v>6678164</v>
      </c>
    </row>
    <row r="59" spans="1:14" s="11" customFormat="1" ht="20.100000000000001" customHeight="1" x14ac:dyDescent="0.25">
      <c r="A59" s="7"/>
      <c r="B59" s="14" t="s">
        <v>73</v>
      </c>
      <c r="C59" s="15" t="s">
        <v>78</v>
      </c>
      <c r="D59" s="16">
        <f>ROUND(3652159*$L$9,0)</f>
        <v>4186105</v>
      </c>
      <c r="E59" s="10">
        <v>0</v>
      </c>
      <c r="F59" s="10">
        <f t="shared" si="10"/>
        <v>215584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f t="shared" si="11"/>
        <v>4401689</v>
      </c>
    </row>
    <row r="60" spans="1:14" s="11" customFormat="1" ht="20.100000000000001" customHeight="1" x14ac:dyDescent="0.25">
      <c r="A60" s="7"/>
      <c r="B60" s="14" t="s">
        <v>75</v>
      </c>
      <c r="C60" s="15" t="s">
        <v>78</v>
      </c>
      <c r="D60" s="16">
        <f>ROUND(2167959*$L$9,0)</f>
        <v>2484915</v>
      </c>
      <c r="E60" s="16">
        <f>ROUND(3250685*$L$9,0)</f>
        <v>3725935</v>
      </c>
      <c r="F60" s="10">
        <f t="shared" si="10"/>
        <v>127973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6">
        <f t="shared" si="11"/>
        <v>6338823</v>
      </c>
    </row>
    <row r="61" spans="1:14" s="11" customFormat="1" ht="20.100000000000001" customHeight="1" x14ac:dyDescent="0.25">
      <c r="A61" s="7"/>
      <c r="B61" s="14" t="s">
        <v>79</v>
      </c>
      <c r="C61" s="15" t="s">
        <v>80</v>
      </c>
      <c r="D61" s="16">
        <f>ROUND(5553105*$L$9,0)</f>
        <v>6364969</v>
      </c>
      <c r="E61" s="10">
        <v>0</v>
      </c>
      <c r="F61" s="10">
        <f t="shared" si="10"/>
        <v>327796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f t="shared" si="11"/>
        <v>6692765</v>
      </c>
    </row>
    <row r="62" spans="1:14" s="11" customFormat="1" ht="20.100000000000001" customHeight="1" x14ac:dyDescent="0.25">
      <c r="A62" s="7"/>
      <c r="B62" s="14" t="s">
        <v>81</v>
      </c>
      <c r="C62" s="15" t="s">
        <v>80</v>
      </c>
      <c r="D62" s="16">
        <f>ROUND(3196534*$L$9,0)</f>
        <v>3663867</v>
      </c>
      <c r="E62" s="17">
        <f>ROUND(4792953*$L$9,0)</f>
        <v>5493683</v>
      </c>
      <c r="F62" s="10">
        <f t="shared" si="10"/>
        <v>188689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6">
        <f t="shared" si="11"/>
        <v>9346239</v>
      </c>
    </row>
    <row r="63" spans="1:14" s="11" customFormat="1" ht="20.100000000000001" customHeight="1" x14ac:dyDescent="0.25">
      <c r="A63" s="7"/>
      <c r="B63" s="14" t="s">
        <v>79</v>
      </c>
      <c r="C63" s="15" t="s">
        <v>82</v>
      </c>
      <c r="D63" s="16">
        <f>ROUND(4923444*$L$9,0)</f>
        <v>5643252</v>
      </c>
      <c r="E63" s="10">
        <v>0</v>
      </c>
      <c r="F63" s="10">
        <f t="shared" si="10"/>
        <v>290627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f t="shared" si="11"/>
        <v>5933879</v>
      </c>
    </row>
    <row r="64" spans="1:14" s="11" customFormat="1" ht="20.100000000000001" customHeight="1" x14ac:dyDescent="0.25">
      <c r="A64" s="7"/>
      <c r="B64" s="14" t="s">
        <v>81</v>
      </c>
      <c r="C64" s="15" t="s">
        <v>82</v>
      </c>
      <c r="D64" s="16">
        <f>ROUND(2541741*$L$9,0)</f>
        <v>2913344</v>
      </c>
      <c r="E64" s="16">
        <f>ROUND(3811142*$L$9,0)</f>
        <v>4368331</v>
      </c>
      <c r="F64" s="10">
        <f t="shared" si="10"/>
        <v>150037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6">
        <f t="shared" si="11"/>
        <v>7431712</v>
      </c>
    </row>
    <row r="65" spans="1:14" s="11" customFormat="1" ht="20.100000000000001" customHeight="1" x14ac:dyDescent="0.25">
      <c r="A65" s="7"/>
      <c r="B65" s="14" t="s">
        <v>79</v>
      </c>
      <c r="C65" s="15" t="s">
        <v>83</v>
      </c>
      <c r="D65" s="16">
        <f>ROUND(4658434*$L$9,0)</f>
        <v>5339497</v>
      </c>
      <c r="E65" s="10">
        <v>0</v>
      </c>
      <c r="F65" s="10">
        <f t="shared" si="10"/>
        <v>274984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f t="shared" si="11"/>
        <v>5614481</v>
      </c>
    </row>
    <row r="66" spans="1:14" s="11" customFormat="1" ht="20.100000000000001" customHeight="1" x14ac:dyDescent="0.25">
      <c r="A66" s="7"/>
      <c r="B66" s="14" t="s">
        <v>79</v>
      </c>
      <c r="C66" s="15" t="s">
        <v>84</v>
      </c>
      <c r="D66" s="16">
        <f>ROUND(4299015*$L$9,0)</f>
        <v>4927531</v>
      </c>
      <c r="E66" s="10">
        <v>0</v>
      </c>
      <c r="F66" s="10">
        <f t="shared" si="10"/>
        <v>253768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f t="shared" si="11"/>
        <v>5181299</v>
      </c>
    </row>
    <row r="67" spans="1:14" s="11" customFormat="1" ht="20.100000000000001" customHeight="1" x14ac:dyDescent="0.25">
      <c r="A67" s="7"/>
      <c r="B67" s="14" t="s">
        <v>81</v>
      </c>
      <c r="C67" s="15" t="s">
        <v>84</v>
      </c>
      <c r="D67" s="16">
        <f>ROUND(2392306*$L$9,0)</f>
        <v>2742061</v>
      </c>
      <c r="E67" s="16">
        <f>ROUND(3587076*$L$9,0)</f>
        <v>4111507</v>
      </c>
      <c r="F67" s="10">
        <f t="shared" si="10"/>
        <v>141216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6">
        <f t="shared" si="11"/>
        <v>6994784</v>
      </c>
    </row>
    <row r="68" spans="1:14" s="11" customFormat="1" ht="20.100000000000001" customHeight="1" x14ac:dyDescent="0.25">
      <c r="A68" s="7"/>
      <c r="B68" s="14" t="s">
        <v>79</v>
      </c>
      <c r="C68" s="15" t="s">
        <v>85</v>
      </c>
      <c r="D68" s="16">
        <f>ROUND(3989161*$L$9,0)</f>
        <v>4572376</v>
      </c>
      <c r="E68" s="10">
        <v>0</v>
      </c>
      <c r="F68" s="10">
        <f t="shared" si="10"/>
        <v>235477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 t="shared" si="11"/>
        <v>4807853</v>
      </c>
    </row>
    <row r="69" spans="1:14" s="11" customFormat="1" ht="20.100000000000001" customHeight="1" x14ac:dyDescent="0.25">
      <c r="A69" s="7"/>
      <c r="B69" s="14" t="s">
        <v>86</v>
      </c>
      <c r="C69" s="15" t="s">
        <v>87</v>
      </c>
      <c r="D69" s="16">
        <f>ROUND(4683503*$L$9,0)</f>
        <v>5368231</v>
      </c>
      <c r="E69" s="10">
        <v>0</v>
      </c>
      <c r="F69" s="10">
        <f t="shared" si="10"/>
        <v>276464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11"/>
        <v>5644695</v>
      </c>
    </row>
    <row r="70" spans="1:14" s="11" customFormat="1" ht="20.100000000000001" customHeight="1" x14ac:dyDescent="0.25">
      <c r="A70" s="7"/>
      <c r="B70" s="14" t="s">
        <v>88</v>
      </c>
      <c r="C70" s="15" t="s">
        <v>87</v>
      </c>
      <c r="D70" s="16">
        <f>ROUND(3989161*$L$9,0)</f>
        <v>4572376</v>
      </c>
      <c r="E70" s="10">
        <v>0</v>
      </c>
      <c r="F70" s="10">
        <f t="shared" si="10"/>
        <v>235477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 t="shared" si="11"/>
        <v>4807853</v>
      </c>
    </row>
    <row r="71" spans="1:14" s="11" customFormat="1" ht="20.100000000000001" customHeight="1" x14ac:dyDescent="0.25">
      <c r="A71" s="7"/>
      <c r="B71" s="14" t="s">
        <v>89</v>
      </c>
      <c r="C71" s="15" t="s">
        <v>87</v>
      </c>
      <c r="D71" s="16">
        <f>ROUND(2284018*$L$9,0)</f>
        <v>2617941</v>
      </c>
      <c r="E71" s="16">
        <f>ROUND(3424707*$L$9,0)</f>
        <v>3925399</v>
      </c>
      <c r="F71" s="10">
        <f t="shared" si="10"/>
        <v>134824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6">
        <f t="shared" si="11"/>
        <v>6678164</v>
      </c>
    </row>
    <row r="72" spans="1:14" s="11" customFormat="1" ht="20.100000000000001" customHeight="1" x14ac:dyDescent="0.25">
      <c r="A72" s="7"/>
      <c r="B72" s="14" t="s">
        <v>88</v>
      </c>
      <c r="C72" s="15" t="s">
        <v>90</v>
      </c>
      <c r="D72" s="16">
        <f>ROUND(3652159*$L$9,0)</f>
        <v>4186105</v>
      </c>
      <c r="E72" s="10">
        <v>0</v>
      </c>
      <c r="F72" s="10">
        <f t="shared" si="10"/>
        <v>215584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11"/>
        <v>4401689</v>
      </c>
    </row>
    <row r="73" spans="1:14" s="11" customFormat="1" ht="20.100000000000001" customHeight="1" x14ac:dyDescent="0.25">
      <c r="A73" s="7"/>
      <c r="B73" s="14" t="s">
        <v>89</v>
      </c>
      <c r="C73" s="15" t="s">
        <v>90</v>
      </c>
      <c r="D73" s="16">
        <f>ROUND(2167959*$L$9,0)</f>
        <v>2484915</v>
      </c>
      <c r="E73" s="16">
        <f>ROUND(3250685*$L$9,0)</f>
        <v>3725935</v>
      </c>
      <c r="F73" s="10">
        <f t="shared" si="10"/>
        <v>127973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6">
        <f t="shared" si="11"/>
        <v>6338823</v>
      </c>
    </row>
    <row r="74" spans="1:14" s="11" customFormat="1" ht="20.100000000000001" customHeight="1" x14ac:dyDescent="0.25">
      <c r="A74" s="7"/>
      <c r="B74" s="14" t="s">
        <v>88</v>
      </c>
      <c r="C74" s="15" t="s">
        <v>91</v>
      </c>
      <c r="D74" s="16">
        <f>ROUND(3357269*$L$9,0)</f>
        <v>3848102</v>
      </c>
      <c r="E74" s="10">
        <v>0</v>
      </c>
      <c r="F74" s="10">
        <f t="shared" si="10"/>
        <v>198177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f t="shared" si="11"/>
        <v>4046279</v>
      </c>
    </row>
    <row r="75" spans="1:14" s="11" customFormat="1" ht="20.100000000000001" customHeight="1" x14ac:dyDescent="0.25">
      <c r="A75" s="7"/>
      <c r="B75" s="14" t="s">
        <v>89</v>
      </c>
      <c r="C75" s="15" t="s">
        <v>91</v>
      </c>
      <c r="D75" s="16">
        <f>ROUND(2049722*$L$9,0)</f>
        <v>2349391</v>
      </c>
      <c r="E75" s="16">
        <f>ROUND(3073398*$L$9,0)</f>
        <v>3522729</v>
      </c>
      <c r="F75" s="10">
        <f t="shared" si="10"/>
        <v>120994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6">
        <f t="shared" si="11"/>
        <v>5993114</v>
      </c>
    </row>
    <row r="76" spans="1:14" s="11" customFormat="1" ht="20.100000000000001" customHeight="1" x14ac:dyDescent="0.25">
      <c r="A76" s="7"/>
      <c r="B76" s="8" t="s">
        <v>88</v>
      </c>
      <c r="C76" s="9" t="s">
        <v>92</v>
      </c>
      <c r="D76" s="10">
        <f>ROUND(3076431*$L$9,0)</f>
        <v>3526205</v>
      </c>
      <c r="E76" s="10">
        <v>0</v>
      </c>
      <c r="F76" s="10">
        <f t="shared" si="10"/>
        <v>181600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11"/>
        <v>3707805</v>
      </c>
    </row>
    <row r="77" spans="1:14" s="11" customFormat="1" ht="20.100000000000001" customHeight="1" x14ac:dyDescent="0.25">
      <c r="A77" s="7"/>
      <c r="B77" s="5" t="s">
        <v>93</v>
      </c>
      <c r="C77" s="6"/>
      <c r="D77" s="12"/>
      <c r="E77" s="12"/>
      <c r="F77" s="12"/>
      <c r="G77" s="12"/>
      <c r="H77" s="12"/>
      <c r="I77" s="12"/>
      <c r="J77" s="12"/>
      <c r="K77" s="12"/>
      <c r="L77" s="12"/>
      <c r="M77" s="13"/>
      <c r="N77" s="13"/>
    </row>
    <row r="78" spans="1:14" s="11" customFormat="1" ht="20.100000000000001" customHeight="1" x14ac:dyDescent="0.25">
      <c r="A78" s="7"/>
      <c r="B78" s="8" t="s">
        <v>94</v>
      </c>
      <c r="C78" s="9" t="s">
        <v>95</v>
      </c>
      <c r="D78" s="10">
        <f>ROUND(5066564*$L$9,0)</f>
        <v>5807296</v>
      </c>
      <c r="E78" s="10">
        <v>0</v>
      </c>
      <c r="F78" s="10">
        <f t="shared" ref="F78:F94" si="12">ROUND(D78*5.15%,0)</f>
        <v>299076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ref="N78:N94" si="13">SUM(D78:M78)</f>
        <v>6106372</v>
      </c>
    </row>
    <row r="79" spans="1:14" s="11" customFormat="1" ht="20.100000000000001" customHeight="1" x14ac:dyDescent="0.25">
      <c r="A79" s="7"/>
      <c r="B79" s="8" t="s">
        <v>96</v>
      </c>
      <c r="C79" s="9" t="s">
        <v>97</v>
      </c>
      <c r="D79" s="10">
        <f>ROUND(4658434*$L$9,0)</f>
        <v>5339497</v>
      </c>
      <c r="E79" s="10">
        <v>0</v>
      </c>
      <c r="F79" s="10">
        <f t="shared" si="12"/>
        <v>274984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13"/>
        <v>5614481</v>
      </c>
    </row>
    <row r="80" spans="1:14" s="11" customFormat="1" ht="20.100000000000001" customHeight="1" x14ac:dyDescent="0.25">
      <c r="A80" s="7"/>
      <c r="B80" s="8" t="s">
        <v>96</v>
      </c>
      <c r="C80" s="9" t="s">
        <v>98</v>
      </c>
      <c r="D80" s="10">
        <f>ROUND(4299015*$L$9,0)</f>
        <v>4927531</v>
      </c>
      <c r="E80" s="10">
        <v>0</v>
      </c>
      <c r="F80" s="10">
        <f t="shared" si="12"/>
        <v>253768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13"/>
        <v>5181299</v>
      </c>
    </row>
    <row r="81" spans="1:14" s="11" customFormat="1" ht="20.100000000000001" customHeight="1" x14ac:dyDescent="0.25">
      <c r="A81" s="7"/>
      <c r="B81" s="8" t="s">
        <v>99</v>
      </c>
      <c r="C81" s="9" t="s">
        <v>100</v>
      </c>
      <c r="D81" s="10">
        <f>ROUND(4658434*$L$9,0)</f>
        <v>5339497</v>
      </c>
      <c r="E81" s="10">
        <v>0</v>
      </c>
      <c r="F81" s="10">
        <f t="shared" si="12"/>
        <v>274984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13"/>
        <v>5614481</v>
      </c>
    </row>
    <row r="82" spans="1:14" s="11" customFormat="1" ht="20.100000000000001" customHeight="1" x14ac:dyDescent="0.25">
      <c r="A82" s="7"/>
      <c r="B82" s="8" t="s">
        <v>101</v>
      </c>
      <c r="C82" s="9" t="s">
        <v>102</v>
      </c>
      <c r="D82" s="10">
        <f>ROUND(3989161*$L$9,0)</f>
        <v>4572376</v>
      </c>
      <c r="E82" s="10">
        <v>0</v>
      </c>
      <c r="F82" s="10">
        <f t="shared" si="12"/>
        <v>235477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13"/>
        <v>4807853</v>
      </c>
    </row>
    <row r="83" spans="1:14" s="11" customFormat="1" ht="20.100000000000001" customHeight="1" x14ac:dyDescent="0.25">
      <c r="A83" s="7"/>
      <c r="B83" s="14" t="s">
        <v>103</v>
      </c>
      <c r="C83" s="15" t="s">
        <v>102</v>
      </c>
      <c r="D83" s="16">
        <f>ROUND(2284018*$L$9,0)</f>
        <v>2617941</v>
      </c>
      <c r="E83" s="16">
        <f>ROUND(3424707*$L$9,0)</f>
        <v>3925399</v>
      </c>
      <c r="F83" s="10">
        <f t="shared" si="12"/>
        <v>134824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6">
        <f t="shared" si="13"/>
        <v>6678164</v>
      </c>
    </row>
    <row r="84" spans="1:14" s="11" customFormat="1" ht="20.100000000000001" customHeight="1" x14ac:dyDescent="0.25">
      <c r="A84" s="7"/>
      <c r="B84" s="14" t="s">
        <v>101</v>
      </c>
      <c r="C84" s="15" t="s">
        <v>104</v>
      </c>
      <c r="D84" s="16">
        <f>ROUND(3652159*$L$9,0)</f>
        <v>4186105</v>
      </c>
      <c r="E84" s="10">
        <v>0</v>
      </c>
      <c r="F84" s="10">
        <f t="shared" si="12"/>
        <v>215584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f t="shared" si="13"/>
        <v>4401689</v>
      </c>
    </row>
    <row r="85" spans="1:14" s="11" customFormat="1" ht="20.100000000000001" customHeight="1" x14ac:dyDescent="0.25">
      <c r="A85" s="7"/>
      <c r="B85" s="14" t="s">
        <v>103</v>
      </c>
      <c r="C85" s="15" t="s">
        <v>104</v>
      </c>
      <c r="D85" s="16">
        <f>ROUND(2167959*$L$9,0)</f>
        <v>2484915</v>
      </c>
      <c r="E85" s="16">
        <f>ROUND(3250685*$L$9,0)</f>
        <v>3725935</v>
      </c>
      <c r="F85" s="10">
        <f t="shared" si="12"/>
        <v>127973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6">
        <f t="shared" si="13"/>
        <v>6338823</v>
      </c>
    </row>
    <row r="86" spans="1:14" s="11" customFormat="1" ht="20.100000000000001" customHeight="1" x14ac:dyDescent="0.25">
      <c r="A86" s="7"/>
      <c r="B86" s="14" t="s">
        <v>101</v>
      </c>
      <c r="C86" s="15" t="s">
        <v>105</v>
      </c>
      <c r="D86" s="16">
        <f>ROUND(3357269*$L$9,0)</f>
        <v>3848102</v>
      </c>
      <c r="E86" s="10">
        <v>0</v>
      </c>
      <c r="F86" s="10">
        <f t="shared" si="12"/>
        <v>198177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13"/>
        <v>4046279</v>
      </c>
    </row>
    <row r="87" spans="1:14" s="11" customFormat="1" ht="20.100000000000001" customHeight="1" x14ac:dyDescent="0.25">
      <c r="A87" s="7"/>
      <c r="B87" s="14" t="s">
        <v>101</v>
      </c>
      <c r="C87" s="15" t="s">
        <v>106</v>
      </c>
      <c r="D87" s="16">
        <f>ROUND(3076431*$L$9,0)</f>
        <v>3526205</v>
      </c>
      <c r="E87" s="10">
        <v>0</v>
      </c>
      <c r="F87" s="10">
        <f t="shared" si="12"/>
        <v>181600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13"/>
        <v>3707805</v>
      </c>
    </row>
    <row r="88" spans="1:14" s="11" customFormat="1" ht="20.100000000000001" customHeight="1" x14ac:dyDescent="0.25">
      <c r="A88" s="7"/>
      <c r="B88" s="14" t="s">
        <v>107</v>
      </c>
      <c r="C88" s="15" t="s">
        <v>108</v>
      </c>
      <c r="D88" s="16">
        <f>ROUND(3652159*$L$9,0)</f>
        <v>4186105</v>
      </c>
      <c r="E88" s="10">
        <v>0</v>
      </c>
      <c r="F88" s="10">
        <f t="shared" si="12"/>
        <v>215584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13"/>
        <v>4401689</v>
      </c>
    </row>
    <row r="89" spans="1:14" s="11" customFormat="1" ht="20.100000000000001" customHeight="1" x14ac:dyDescent="0.25">
      <c r="A89" s="7"/>
      <c r="B89" s="14" t="s">
        <v>107</v>
      </c>
      <c r="C89" s="15" t="s">
        <v>109</v>
      </c>
      <c r="D89" s="16">
        <f>ROUND(3357269*$L$9,0)</f>
        <v>3848102</v>
      </c>
      <c r="E89" s="10">
        <v>0</v>
      </c>
      <c r="F89" s="10">
        <f t="shared" si="12"/>
        <v>198177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13"/>
        <v>4046279</v>
      </c>
    </row>
    <row r="90" spans="1:14" s="11" customFormat="1" ht="20.100000000000001" customHeight="1" x14ac:dyDescent="0.25">
      <c r="A90" s="7"/>
      <c r="B90" s="14" t="s">
        <v>110</v>
      </c>
      <c r="C90" s="15" t="s">
        <v>109</v>
      </c>
      <c r="D90" s="16">
        <f>ROUND(2049722*$L$9,0)</f>
        <v>2349391</v>
      </c>
      <c r="E90" s="16">
        <f>ROUND(3073398*$L$9,0)</f>
        <v>3522729</v>
      </c>
      <c r="F90" s="10">
        <f t="shared" si="12"/>
        <v>120994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6">
        <f t="shared" si="13"/>
        <v>5993114</v>
      </c>
    </row>
    <row r="91" spans="1:14" s="11" customFormat="1" ht="20.100000000000001" customHeight="1" x14ac:dyDescent="0.25">
      <c r="A91" s="7"/>
      <c r="B91" s="14" t="s">
        <v>107</v>
      </c>
      <c r="C91" s="15" t="s">
        <v>111</v>
      </c>
      <c r="D91" s="16">
        <f>ROUND(3076431*$L$9,0)</f>
        <v>3526205</v>
      </c>
      <c r="E91" s="10">
        <v>0</v>
      </c>
      <c r="F91" s="10">
        <f t="shared" si="12"/>
        <v>181600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13"/>
        <v>3707805</v>
      </c>
    </row>
    <row r="92" spans="1:14" s="11" customFormat="1" ht="20.100000000000001" customHeight="1" x14ac:dyDescent="0.25">
      <c r="A92" s="7"/>
      <c r="B92" s="14" t="s">
        <v>110</v>
      </c>
      <c r="C92" s="15" t="s">
        <v>111</v>
      </c>
      <c r="D92" s="16">
        <f>ROUND(1948909*$L$9,0)</f>
        <v>2233839</v>
      </c>
      <c r="E92" s="16">
        <f>ROUND(2922237*$L$9,0)</f>
        <v>3349468</v>
      </c>
      <c r="F92" s="10">
        <f t="shared" si="12"/>
        <v>115043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6">
        <f t="shared" si="13"/>
        <v>5698350</v>
      </c>
    </row>
    <row r="93" spans="1:14" s="11" customFormat="1" ht="20.100000000000001" customHeight="1" x14ac:dyDescent="0.25">
      <c r="A93" s="7"/>
      <c r="B93" s="14" t="s">
        <v>112</v>
      </c>
      <c r="C93" s="15" t="s">
        <v>113</v>
      </c>
      <c r="D93" s="16">
        <f>ROUND(2541998*$L$9,0)</f>
        <v>2913638</v>
      </c>
      <c r="E93" s="10">
        <v>0</v>
      </c>
      <c r="F93" s="10">
        <f t="shared" si="12"/>
        <v>150052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f t="shared" si="13"/>
        <v>3063690</v>
      </c>
    </row>
    <row r="94" spans="1:14" s="11" customFormat="1" ht="20.100000000000001" customHeight="1" x14ac:dyDescent="0.25">
      <c r="A94" s="7"/>
      <c r="B94" s="14" t="s">
        <v>114</v>
      </c>
      <c r="C94" s="15" t="s">
        <v>113</v>
      </c>
      <c r="D94" s="16">
        <f>ROUND(1718827*$L$9,0)</f>
        <v>1970120</v>
      </c>
      <c r="E94" s="16">
        <f>ROUND(2577247*$L$9,0)</f>
        <v>2954041</v>
      </c>
      <c r="F94" s="10">
        <f t="shared" si="12"/>
        <v>101461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6">
        <f t="shared" si="13"/>
        <v>5025622</v>
      </c>
    </row>
    <row r="95" spans="1:14" s="11" customFormat="1" ht="20.100000000000001" customHeight="1" x14ac:dyDescent="0.25">
      <c r="A95" s="7"/>
      <c r="B95" s="5" t="s">
        <v>115</v>
      </c>
      <c r="C95" s="6">
        <v>1</v>
      </c>
      <c r="D95" s="12">
        <v>2</v>
      </c>
      <c r="E95" s="12">
        <v>3</v>
      </c>
      <c r="F95" s="12"/>
      <c r="G95" s="12"/>
      <c r="H95" s="12"/>
      <c r="I95" s="12"/>
      <c r="J95" s="12"/>
      <c r="K95" s="12"/>
      <c r="L95" s="12"/>
      <c r="M95" s="13"/>
      <c r="N95" s="13"/>
    </row>
    <row r="96" spans="1:14" s="11" customFormat="1" ht="20.100000000000001" customHeight="1" x14ac:dyDescent="0.25">
      <c r="A96" s="7"/>
      <c r="B96" s="8" t="s">
        <v>116</v>
      </c>
      <c r="C96" s="9" t="s">
        <v>117</v>
      </c>
      <c r="D96" s="10">
        <f>ROUND(4923444*$L$9,0)</f>
        <v>5643252</v>
      </c>
      <c r="E96" s="10">
        <v>0</v>
      </c>
      <c r="F96" s="10">
        <f t="shared" ref="F96:F110" si="14">ROUND(D96*5.15%,0)</f>
        <v>290627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f t="shared" ref="N96:N110" si="15">SUM(D96:M96)</f>
        <v>5933879</v>
      </c>
    </row>
    <row r="97" spans="1:14" s="11" customFormat="1" ht="20.100000000000001" customHeight="1" x14ac:dyDescent="0.25">
      <c r="A97" s="7"/>
      <c r="B97" s="8" t="s">
        <v>116</v>
      </c>
      <c r="C97" s="9" t="s">
        <v>118</v>
      </c>
      <c r="D97" s="10">
        <f>ROUND(4658434*$L$9,0)</f>
        <v>5339497</v>
      </c>
      <c r="E97" s="10">
        <v>0</v>
      </c>
      <c r="F97" s="10">
        <f t="shared" si="14"/>
        <v>274984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f t="shared" si="15"/>
        <v>5614481</v>
      </c>
    </row>
    <row r="98" spans="1:14" s="11" customFormat="1" ht="20.100000000000001" customHeight="1" x14ac:dyDescent="0.25">
      <c r="A98" s="7"/>
      <c r="B98" s="8" t="s">
        <v>116</v>
      </c>
      <c r="C98" s="9" t="s">
        <v>119</v>
      </c>
      <c r="D98" s="10">
        <f>ROUND(3989161*$L$9,0)</f>
        <v>4572376</v>
      </c>
      <c r="E98" s="10">
        <v>0</v>
      </c>
      <c r="F98" s="10">
        <f t="shared" si="14"/>
        <v>235477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f t="shared" si="15"/>
        <v>4807853</v>
      </c>
    </row>
    <row r="99" spans="1:14" s="11" customFormat="1" ht="20.100000000000001" customHeight="1" x14ac:dyDescent="0.25">
      <c r="A99" s="7"/>
      <c r="B99" s="8" t="s">
        <v>120</v>
      </c>
      <c r="C99" s="9" t="s">
        <v>121</v>
      </c>
      <c r="D99" s="10">
        <f>ROUND(3076431*$L$9,0)</f>
        <v>3526205</v>
      </c>
      <c r="E99" s="10">
        <v>0</v>
      </c>
      <c r="F99" s="10">
        <f t="shared" si="14"/>
        <v>181600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f t="shared" si="15"/>
        <v>3707805</v>
      </c>
    </row>
    <row r="100" spans="1:14" s="11" customFormat="1" ht="20.100000000000001" customHeight="1" x14ac:dyDescent="0.25">
      <c r="A100" s="7"/>
      <c r="B100" s="8" t="s">
        <v>120</v>
      </c>
      <c r="C100" s="9" t="s">
        <v>122</v>
      </c>
      <c r="D100" s="10">
        <f>ROUND(2541998*$L$9,0)</f>
        <v>2913638</v>
      </c>
      <c r="E100" s="10">
        <v>0</v>
      </c>
      <c r="F100" s="10">
        <f t="shared" si="14"/>
        <v>150052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f t="shared" si="15"/>
        <v>3063690</v>
      </c>
    </row>
    <row r="101" spans="1:14" s="11" customFormat="1" ht="20.100000000000001" customHeight="1" x14ac:dyDescent="0.25">
      <c r="A101" s="7"/>
      <c r="B101" s="14" t="s">
        <v>123</v>
      </c>
      <c r="C101" s="15" t="s">
        <v>122</v>
      </c>
      <c r="D101" s="16">
        <f>ROUND(1718827*$L$9,0)</f>
        <v>1970120</v>
      </c>
      <c r="E101" s="16">
        <f>ROUND(2577247*$L$9,0)</f>
        <v>2954041</v>
      </c>
      <c r="F101" s="10">
        <f t="shared" si="14"/>
        <v>101461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f t="shared" si="15"/>
        <v>5025622</v>
      </c>
    </row>
    <row r="102" spans="1:14" s="11" customFormat="1" ht="20.100000000000001" customHeight="1" x14ac:dyDescent="0.25">
      <c r="A102" s="7"/>
      <c r="B102" s="14" t="s">
        <v>124</v>
      </c>
      <c r="C102" s="15" t="s">
        <v>125</v>
      </c>
      <c r="D102" s="16">
        <f>ROUND(2541998*$L$9,0)</f>
        <v>2913638</v>
      </c>
      <c r="E102" s="10">
        <v>0</v>
      </c>
      <c r="F102" s="10">
        <f t="shared" si="14"/>
        <v>150052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f t="shared" si="15"/>
        <v>3063690</v>
      </c>
    </row>
    <row r="103" spans="1:14" s="11" customFormat="1" ht="20.100000000000001" customHeight="1" x14ac:dyDescent="0.25">
      <c r="A103" s="7"/>
      <c r="B103" s="14" t="s">
        <v>126</v>
      </c>
      <c r="C103" s="15" t="s">
        <v>125</v>
      </c>
      <c r="D103" s="16">
        <f>ROUND(1718827*$L$9,0)</f>
        <v>1970120</v>
      </c>
      <c r="E103" s="16">
        <f>ROUND(2577247*$L$9,0)</f>
        <v>2954041</v>
      </c>
      <c r="F103" s="10">
        <f t="shared" si="14"/>
        <v>101461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f t="shared" si="15"/>
        <v>5025622</v>
      </c>
    </row>
    <row r="104" spans="1:14" s="11" customFormat="1" ht="20.100000000000001" customHeight="1" x14ac:dyDescent="0.25">
      <c r="A104" s="7"/>
      <c r="B104" s="14" t="s">
        <v>127</v>
      </c>
      <c r="C104" s="15" t="s">
        <v>128</v>
      </c>
      <c r="D104" s="16">
        <f>ROUND(2541998*$L$9,0)</f>
        <v>2913638</v>
      </c>
      <c r="E104" s="10">
        <v>0</v>
      </c>
      <c r="F104" s="10">
        <f t="shared" si="14"/>
        <v>150052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f t="shared" si="15"/>
        <v>3063690</v>
      </c>
    </row>
    <row r="105" spans="1:14" s="11" customFormat="1" ht="20.100000000000001" customHeight="1" x14ac:dyDescent="0.25">
      <c r="A105" s="7"/>
      <c r="B105" s="14" t="s">
        <v>124</v>
      </c>
      <c r="C105" s="15" t="s">
        <v>129</v>
      </c>
      <c r="D105" s="16">
        <f>ROUND(2294674*$L$9,0)</f>
        <v>2630155</v>
      </c>
      <c r="E105" s="10">
        <v>0</v>
      </c>
      <c r="F105" s="10">
        <f t="shared" si="14"/>
        <v>135453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f t="shared" si="15"/>
        <v>2765608</v>
      </c>
    </row>
    <row r="106" spans="1:14" s="11" customFormat="1" ht="20.100000000000001" customHeight="1" x14ac:dyDescent="0.25">
      <c r="A106" s="7"/>
      <c r="B106" s="14" t="s">
        <v>127</v>
      </c>
      <c r="C106" s="15" t="s">
        <v>130</v>
      </c>
      <c r="D106" s="16">
        <f>ROUND(2294674*$L$9,0)</f>
        <v>2630155</v>
      </c>
      <c r="E106" s="10">
        <v>0</v>
      </c>
      <c r="F106" s="10">
        <f t="shared" si="14"/>
        <v>135453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f t="shared" si="15"/>
        <v>2765608</v>
      </c>
    </row>
    <row r="107" spans="1:14" s="11" customFormat="1" ht="20.100000000000001" customHeight="1" x14ac:dyDescent="0.25">
      <c r="A107" s="7"/>
      <c r="B107" s="14" t="s">
        <v>131</v>
      </c>
      <c r="C107" s="15" t="s">
        <v>130</v>
      </c>
      <c r="D107" s="16">
        <f>ROUND(1389204*$L$9,0)</f>
        <v>1592306</v>
      </c>
      <c r="E107" s="16">
        <f>ROUND(2083003*$L$9,0)</f>
        <v>2387538</v>
      </c>
      <c r="F107" s="10">
        <f t="shared" si="14"/>
        <v>82004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f t="shared" si="15"/>
        <v>4061848</v>
      </c>
    </row>
    <row r="108" spans="1:14" s="11" customFormat="1" ht="20.100000000000001" customHeight="1" x14ac:dyDescent="0.25">
      <c r="A108" s="7"/>
      <c r="B108" s="14" t="s">
        <v>132</v>
      </c>
      <c r="C108" s="15" t="s">
        <v>133</v>
      </c>
      <c r="D108" s="16">
        <f>ROUND(2294674*$L$9,0)</f>
        <v>2630155</v>
      </c>
      <c r="E108" s="10">
        <v>0</v>
      </c>
      <c r="F108" s="10">
        <f t="shared" si="14"/>
        <v>135453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f t="shared" si="15"/>
        <v>2765608</v>
      </c>
    </row>
    <row r="109" spans="1:14" s="11" customFormat="1" ht="20.100000000000001" customHeight="1" x14ac:dyDescent="0.25">
      <c r="A109" s="7"/>
      <c r="B109" s="14" t="s">
        <v>127</v>
      </c>
      <c r="C109" s="15" t="s">
        <v>134</v>
      </c>
      <c r="D109" s="16">
        <f>ROUND(1752527*$L$9,0)</f>
        <v>2008746</v>
      </c>
      <c r="E109" s="10">
        <v>0</v>
      </c>
      <c r="F109" s="10">
        <f t="shared" si="14"/>
        <v>103450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f t="shared" si="15"/>
        <v>2112196</v>
      </c>
    </row>
    <row r="110" spans="1:14" s="11" customFormat="1" ht="20.100000000000001" customHeight="1" x14ac:dyDescent="0.25">
      <c r="A110" s="7"/>
      <c r="B110" s="14" t="s">
        <v>131</v>
      </c>
      <c r="C110" s="15" t="s">
        <v>134</v>
      </c>
      <c r="D110" s="16">
        <f>ROUND(1283370*$L$9,0)</f>
        <v>1470999</v>
      </c>
      <c r="E110" s="16">
        <f>ROUND(1924313*$L$9,0)</f>
        <v>2205648</v>
      </c>
      <c r="F110" s="10">
        <f t="shared" si="14"/>
        <v>75756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f t="shared" si="15"/>
        <v>3752403</v>
      </c>
    </row>
    <row r="111" spans="1:14" ht="27.75" customHeight="1" x14ac:dyDescent="0.25">
      <c r="A111" s="18"/>
      <c r="B111" s="2" t="s">
        <v>135</v>
      </c>
    </row>
    <row r="112" spans="1:14" ht="12.75" x14ac:dyDescent="0.2"/>
    <row r="113" ht="12.75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sheetProtection algorithmName="SHA-512" hashValue="dWJX8qKj1qQ9svQ14eVAfihapf5CHyOWavYXuKpsJsLPFwvoxfcxOKD0kPRc02HA6NAktfzribWeTWENrg2siw==" saltValue="3h+Ze79MPJiHuaQOVmDySA==" spinCount="100000" sheet="1" objects="1" scenarios="1" formatCells="0" selectLockedCells="1"/>
  <autoFilter ref="B95:D95" xr:uid="{A84E8A22-027E-42BD-8304-73F255796D40}"/>
  <mergeCells count="17">
    <mergeCell ref="H6:H8"/>
    <mergeCell ref="K6:K8"/>
    <mergeCell ref="J6:J8"/>
    <mergeCell ref="N6:N8"/>
    <mergeCell ref="B2:N2"/>
    <mergeCell ref="B3:N3"/>
    <mergeCell ref="B4:N4"/>
    <mergeCell ref="B5:N5"/>
    <mergeCell ref="I6:I8"/>
    <mergeCell ref="L6:L8"/>
    <mergeCell ref="M6:M8"/>
    <mergeCell ref="B6:B8"/>
    <mergeCell ref="C6:C8"/>
    <mergeCell ref="D6:D8"/>
    <mergeCell ref="E6:E8"/>
    <mergeCell ref="F6:F8"/>
    <mergeCell ref="G6:G8"/>
  </mergeCells>
  <printOptions horizontalCentered="1" verticalCentered="1" gridLinesSet="0"/>
  <pageMargins left="0.15748031496062992" right="0.15748031496062992" top="0.59055118110236227" bottom="0.59055118110236227" header="0.51181102362204722" footer="0.51181102362204722"/>
  <pageSetup paperSize="14" scale="40" orientation="portrait" r:id="rId1"/>
  <headerFooter alignWithMargins="0"/>
  <ignoredErrors>
    <ignoredError sqref="N37 D69 D101:D10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81C0264B8044983D4D78886BCBA71" ma:contentTypeVersion="4" ma:contentTypeDescription="Crear nuevo documento." ma:contentTypeScope="" ma:versionID="bfa8e4e4b72e63c09f84ba64440e7ed7">
  <xsd:schema xmlns:xsd="http://www.w3.org/2001/XMLSchema" xmlns:xs="http://www.w3.org/2001/XMLSchema" xmlns:p="http://schemas.microsoft.com/office/2006/metadata/properties" xmlns:ns1="http://schemas.microsoft.com/sharepoint/v3" xmlns:ns2="2527769d-9d09-4668-95f1-a7f37efe50c6" targetNamespace="http://schemas.microsoft.com/office/2006/metadata/properties" ma:root="true" ma:fieldsID="8889946f31b416fc12dba8c86264a4f3" ns1:_="" ns2:_="">
    <xsd:import namespace="http://schemas.microsoft.com/sharepoint/v3"/>
    <xsd:import namespace="2527769d-9d09-4668-95f1-a7f37efe50c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echa" minOccurs="0"/>
                <xsd:element ref="ns2:r5zb" minOccurs="0"/>
                <xsd:element ref="ns2:F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7769d-9d09-4668-95f1-a7f37efe50c6" elementFormDefault="qualified">
    <xsd:import namespace="http://schemas.microsoft.com/office/2006/documentManagement/types"/>
    <xsd:import namespace="http://schemas.microsoft.com/office/infopath/2007/PartnerControls"/>
    <xsd:element name="Fecha" ma:index="10" nillable="true" ma:displayName="Fecha" ma:format="DateTime" ma:internalName="Fecha">
      <xsd:simpleType>
        <xsd:restriction base="dms:DateTime"/>
      </xsd:simpleType>
    </xsd:element>
    <xsd:element name="r5zb" ma:index="11" nillable="true" ma:displayName="Fecha y hora" ma:internalName="r5zb">
      <xsd:simpleType>
        <xsd:restriction base="dms:DateTime"/>
      </xsd:simpleType>
    </xsd:element>
    <xsd:element name="Fec" ma:index="12" nillable="true" ma:displayName="Fec" ma:format="DateOnly" ma:internalName="Fec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echa xmlns="2527769d-9d09-4668-95f1-a7f37efe50c6" xsi:nil="true"/>
    <Fec xmlns="2527769d-9d09-4668-95f1-a7f37efe50c6" xsi:nil="true"/>
    <r5zb xmlns="2527769d-9d09-4668-95f1-a7f37efe50c6" xsi:nil="true"/>
  </documentManagement>
</p:properties>
</file>

<file path=customXml/itemProps1.xml><?xml version="1.0" encoding="utf-8"?>
<ds:datastoreItem xmlns:ds="http://schemas.openxmlformats.org/officeDocument/2006/customXml" ds:itemID="{9FD986D3-A820-49CD-A94D-98092729FA55}"/>
</file>

<file path=customXml/itemProps2.xml><?xml version="1.0" encoding="utf-8"?>
<ds:datastoreItem xmlns:ds="http://schemas.openxmlformats.org/officeDocument/2006/customXml" ds:itemID="{DAB4E862-42FE-4BCA-AAE8-11E8BD1BA219}"/>
</file>

<file path=customXml/itemProps3.xml><?xml version="1.0" encoding="utf-8"?>
<ds:datastoreItem xmlns:ds="http://schemas.openxmlformats.org/officeDocument/2006/customXml" ds:itemID="{036085FF-5694-4B16-BFED-8E6A72DFF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Escala Salarial Directivos</vt:lpstr>
      <vt:lpstr>Escala Salarial PGN 2023</vt:lpstr>
      <vt:lpstr>'Escala Salarial PGN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Pereira Toro</dc:creator>
  <cp:lastModifiedBy>Fernando Pereira Toro</cp:lastModifiedBy>
  <cp:lastPrinted>2023-08-15T17:42:49Z</cp:lastPrinted>
  <dcterms:created xsi:type="dcterms:W3CDTF">2021-01-14T19:18:36Z</dcterms:created>
  <dcterms:modified xsi:type="dcterms:W3CDTF">2023-09-07T19:19:26Z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