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D:\5. GRUPO GESTIÓN NÓMINA 2026\2. COSTOS NÓMINA 2026\6. DECRETOS INCREMENTO SALARIAL 2026\4. ESCALA SALARIAL 2026 D-313-26\"/>
    </mc:Choice>
  </mc:AlternateContent>
  <xr:revisionPtr revIDLastSave="0" documentId="8_{A3E74DF5-BF50-4578-8994-2445A82AFE09}" xr6:coauthVersionLast="47" xr6:coauthVersionMax="47" xr10:uidLastSave="{00000000-0000-0000-0000-000000000000}"/>
  <bookViews>
    <workbookView xWindow="-120" yWindow="-120" windowWidth="29040" windowHeight="15720" firstSheet="2" activeTab="3" xr2:uid="{C8A5CA98-4274-4885-9E81-A0EAB8AB18CA}"/>
  </bookViews>
  <sheets>
    <sheet name="Escala Salarial Directivos" sheetId="3" state="hidden" r:id="rId1"/>
    <sheet name="2024 A" sheetId="6" state="hidden" r:id="rId2"/>
    <sheet name="2026" sheetId="5" r:id="rId3"/>
    <sheet name="Escala Salarial PGN 2026" sheetId="1" r:id="rId4"/>
    <sheet name="Salario Directivos PGN 2024" sheetId="4" state="hidden" r:id="rId5"/>
  </sheets>
  <externalReferences>
    <externalReference r:id="rId6"/>
  </externalReferences>
  <definedNames>
    <definedName name="_xlnm._FilterDatabase" localSheetId="1" hidden="1">'2024 A'!$A$3:$V$39</definedName>
    <definedName name="_xlnm._FilterDatabase" localSheetId="3" hidden="1">'Escala Salarial PGN 2026'!$B$10:$Q$114</definedName>
    <definedName name="activo" localSheetId="0">[1]DESPLEGABLES!#REF!</definedName>
    <definedName name="activo" localSheetId="3">[1]DESPLEGABLES!#REF!</definedName>
    <definedName name="activo" localSheetId="4">[1]DESPLEGABLES!#REF!</definedName>
    <definedName name="activo">[1]DESPLEGABLES!#REF!</definedName>
    <definedName name="_xlnm.Print_Area" localSheetId="3">'Escala Salarial PGN 2026'!$B$2:$Q$111</definedName>
    <definedName name="_xlnm.Print_Area" localSheetId="4">'Salario Directivos PGN 2024'!$B$2:$I$17</definedName>
    <definedName name="bien_o_servicio" localSheetId="0">[1]DESPLEGABLES!#REF!</definedName>
    <definedName name="bien_o_servicio" localSheetId="3">[1]DESPLEGABLES!#REF!</definedName>
    <definedName name="bien_o_servicio" localSheetId="4">[1]DESPLEGABLES!#REF!</definedName>
    <definedName name="bien_o_servicio">[1]DESPLEGABLES!#REF!</definedName>
    <definedName name="CPC" localSheetId="0">[1]DESPLEGABLES!#REF!</definedName>
    <definedName name="CPC" localSheetId="3">[1]DESPLEGABLES!#REF!</definedName>
    <definedName name="CPC" localSheetId="4">[1]DESPLEGABLES!#REF!</definedName>
    <definedName name="CPC">[1]DESPLEGABLES!#REF!</definedName>
    <definedName name="Derechos_administrativos" localSheetId="0">[1]DESPLEGABLES!#REF!</definedName>
    <definedName name="Derechos_administrativos" localSheetId="3">[1]DESPLEGABLES!#REF!</definedName>
    <definedName name="Derechos_administrativos" localSheetId="4">[1]DESPLEGABLES!#REF!</definedName>
    <definedName name="Derechos_administrativos">[1]DESPLEGABLES!#REF!</definedName>
    <definedName name="Fondos" localSheetId="0">[1]DESPLEGABLES!#REF!</definedName>
    <definedName name="Fondos" localSheetId="3">[1]DESPLEGABLES!#REF!</definedName>
    <definedName name="Fondos" localSheetId="4">[1]DESPLEGABLES!#REF!</definedName>
    <definedName name="Fondos">[1]DESPLEGABLES!#REF!</definedName>
    <definedName name="TIPO_DE_INGRESO" localSheetId="0">[1]DESPLEGABLES!#REF!</definedName>
    <definedName name="TIPO_DE_INGRESO" localSheetId="3">[1]DESPLEGABLES!#REF!</definedName>
    <definedName name="TIPO_DE_INGRESO" localSheetId="4">[1]DESPLEGABLES!#REF!</definedName>
    <definedName name="TIPO_DE_INGRESO">[1]DESPLEGABLES!#REF!</definedName>
    <definedName name="TIPO_DE_INGRESO_A_REGISTRAR" localSheetId="0">[1]DESPLEGABLES!#REF!</definedName>
    <definedName name="TIPO_DE_INGRESO_A_REGISTRAR" localSheetId="3">[1]DESPLEGABLES!#REF!</definedName>
    <definedName name="TIPO_DE_INGRESO_A_REGISTRAR" localSheetId="4">[1]DESPLEGABLES!#REF!</definedName>
    <definedName name="TIPO_DE_INGRESO_A_REGISTRAR">[1]DESPLEGABLES!#REF!</definedName>
    <definedName name="TIPO_INGRESO" localSheetId="0">[1]DESPLEGABLES!#REF!</definedName>
    <definedName name="TIPO_INGRESO" localSheetId="3">[1]DESPLEGABLES!#REF!</definedName>
    <definedName name="TIPO_INGRESO" localSheetId="4">[1]DESPLEGABLES!#REF!</definedName>
    <definedName name="TIPO_INGRESO">[1]DESPLEGABLES!#REF!</definedName>
    <definedName name="Ventas_de_establecimientos_de_mercado" localSheetId="0">[1]DESPLEGABLES!#REF!</definedName>
    <definedName name="Ventas_de_establecimientos_de_mercado" localSheetId="3">[1]DESPLEGABLES!#REF!</definedName>
    <definedName name="Ventas_de_establecimientos_de_mercado" localSheetId="4">[1]DESPLEGABLES!#REF!</definedName>
    <definedName name="Ventas_de_establecimientos_de_mercado">[1]DESPLEGABLES!#REF!</definedName>
    <definedName name="Ventas_incidentales_de_establecimiento_no_de_mercado" localSheetId="0">[1]DESPLEGABLES!#REF!</definedName>
    <definedName name="Ventas_incidentales_de_establecimiento_no_de_mercado" localSheetId="3">[1]DESPLEGABLES!#REF!</definedName>
    <definedName name="Ventas_incidentales_de_establecimiento_no_de_mercado" localSheetId="4">[1]DESPLEGABLES!#REF!</definedName>
    <definedName name="Ventas_incidentales_de_establecimiento_no_de_mercado">[1]DESPLEGABLES!#REF!</definedName>
    <definedName name="Ventas_incidentales_de_establecimientos_no_de_mercado" localSheetId="0">[1]DESPLEGABLES!#REF!</definedName>
    <definedName name="Ventas_incidentales_de_establecimientos_no_de_mercado" localSheetId="3">[1]DESPLEGABLES!#REF!</definedName>
    <definedName name="Ventas_incidentales_de_establecimientos_no_de_mercado" localSheetId="4">[1]DESPLEGABLES!#REF!</definedName>
    <definedName name="Ventas_incidentales_de_establecimientos_no_de_mercado">[1]DESPLEGABLES!#REF!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7" i="5" l="1"/>
  <c r="P18" i="5" l="1"/>
  <c r="F18" i="5"/>
  <c r="J14" i="5"/>
  <c r="C14" i="5"/>
  <c r="K9" i="5"/>
  <c r="K8" i="5"/>
  <c r="F9" i="5"/>
  <c r="F8" i="5"/>
  <c r="D9" i="5"/>
  <c r="D8" i="5"/>
  <c r="C9" i="5"/>
  <c r="C8" i="5"/>
  <c r="K6" i="5"/>
  <c r="F6" i="5"/>
  <c r="D6" i="5"/>
  <c r="C6" i="5"/>
  <c r="C4" i="5" l="1"/>
  <c r="C3" i="5"/>
  <c r="D4" i="5"/>
  <c r="D3" i="5"/>
  <c r="P76" i="1"/>
  <c r="P91" i="1"/>
  <c r="P93" i="1"/>
  <c r="P95" i="1"/>
  <c r="P102" i="1"/>
  <c r="P104" i="1"/>
  <c r="P108" i="1"/>
  <c r="P111" i="1"/>
  <c r="O76" i="1"/>
  <c r="O91" i="1"/>
  <c r="O93" i="1"/>
  <c r="O95" i="1"/>
  <c r="O102" i="1"/>
  <c r="O104" i="1"/>
  <c r="O108" i="1"/>
  <c r="O111" i="1"/>
  <c r="I4" i="5"/>
  <c r="I3" i="5"/>
  <c r="G30" i="1"/>
  <c r="U40" i="5" l="1"/>
  <c r="P44" i="5"/>
  <c r="R44" i="5"/>
  <c r="F27" i="1"/>
  <c r="C7" i="6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2" i="5"/>
  <c r="L2" i="5" s="1"/>
  <c r="E3" i="5"/>
  <c r="E4" i="5"/>
  <c r="L20" i="4" l="1"/>
  <c r="J20" i="4"/>
  <c r="I20" i="4"/>
  <c r="H20" i="4"/>
  <c r="E20" i="4"/>
  <c r="L19" i="4"/>
  <c r="J19" i="4"/>
  <c r="I19" i="4"/>
  <c r="H19" i="4"/>
  <c r="E19" i="4"/>
  <c r="L18" i="4"/>
  <c r="J18" i="4"/>
  <c r="I18" i="4"/>
  <c r="H18" i="4"/>
  <c r="E18" i="4"/>
  <c r="L17" i="4"/>
  <c r="J17" i="4"/>
  <c r="I17" i="4"/>
  <c r="H17" i="4"/>
  <c r="E17" i="4"/>
  <c r="L16" i="4"/>
  <c r="J16" i="4"/>
  <c r="I16" i="4"/>
  <c r="H16" i="4"/>
  <c r="E16" i="4"/>
  <c r="L15" i="4"/>
  <c r="J15" i="4"/>
  <c r="I15" i="4"/>
  <c r="H15" i="4"/>
  <c r="E15" i="4"/>
  <c r="L14" i="4"/>
  <c r="J14" i="4"/>
  <c r="I14" i="4"/>
  <c r="H14" i="4"/>
  <c r="E14" i="4"/>
  <c r="L13" i="4"/>
  <c r="J13" i="4"/>
  <c r="I13" i="4"/>
  <c r="H13" i="4"/>
  <c r="E13" i="4"/>
  <c r="L12" i="4"/>
  <c r="J12" i="4"/>
  <c r="I12" i="4"/>
  <c r="H12" i="4"/>
  <c r="E12" i="4"/>
  <c r="L11" i="4"/>
  <c r="J11" i="4"/>
  <c r="I11" i="4"/>
  <c r="H11" i="4"/>
  <c r="E11" i="4"/>
  <c r="P110" i="1"/>
  <c r="O110" i="1"/>
  <c r="N36" i="1"/>
  <c r="M38" i="1"/>
  <c r="M37" i="1"/>
  <c r="K37" i="1"/>
  <c r="K38" i="1"/>
  <c r="K36" i="1"/>
  <c r="I33" i="1"/>
  <c r="I23" i="1"/>
  <c r="I22" i="1"/>
  <c r="L12" i="1"/>
  <c r="L13" i="1"/>
  <c r="L14" i="1"/>
  <c r="L15" i="1"/>
  <c r="L16" i="1"/>
  <c r="L17" i="1"/>
  <c r="L18" i="1"/>
  <c r="L11" i="1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J12" i="1"/>
  <c r="J13" i="1"/>
  <c r="J14" i="1"/>
  <c r="J15" i="1"/>
  <c r="J16" i="1"/>
  <c r="J17" i="1"/>
  <c r="J18" i="1"/>
  <c r="J19" i="1"/>
  <c r="J20" i="1"/>
  <c r="J11" i="1"/>
  <c r="I12" i="1"/>
  <c r="I13" i="1"/>
  <c r="I14" i="1"/>
  <c r="I15" i="1"/>
  <c r="I16" i="1"/>
  <c r="I17" i="1"/>
  <c r="I18" i="1"/>
  <c r="I19" i="1"/>
  <c r="I20" i="1"/>
  <c r="I11" i="1"/>
  <c r="H12" i="1"/>
  <c r="H13" i="1"/>
  <c r="H14" i="1"/>
  <c r="H15" i="1"/>
  <c r="H16" i="1"/>
  <c r="H17" i="1"/>
  <c r="H18" i="1"/>
  <c r="H19" i="1"/>
  <c r="H20" i="1"/>
  <c r="H11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70" i="1"/>
  <c r="G71" i="1"/>
  <c r="G72" i="1"/>
  <c r="G73" i="1"/>
  <c r="G74" i="1"/>
  <c r="G75" i="1"/>
  <c r="G76" i="1"/>
  <c r="G7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47" i="1"/>
  <c r="G40" i="1"/>
  <c r="G41" i="1"/>
  <c r="G42" i="1"/>
  <c r="G43" i="1"/>
  <c r="G44" i="1"/>
  <c r="G45" i="1"/>
  <c r="G39" i="1"/>
  <c r="G34" i="1"/>
  <c r="G25" i="1"/>
  <c r="G26" i="1"/>
  <c r="G27" i="1"/>
  <c r="G28" i="1"/>
  <c r="G29" i="1"/>
  <c r="G31" i="1"/>
  <c r="G24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97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79" i="1"/>
  <c r="F72" i="1"/>
  <c r="F73" i="1"/>
  <c r="F74" i="1"/>
  <c r="F75" i="1"/>
  <c r="F76" i="1"/>
  <c r="F77" i="1"/>
  <c r="F71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47" i="1"/>
  <c r="F40" i="1"/>
  <c r="F41" i="1"/>
  <c r="F42" i="1"/>
  <c r="F43" i="1"/>
  <c r="F44" i="1"/>
  <c r="F45" i="1"/>
  <c r="F39" i="1"/>
  <c r="F24" i="1"/>
  <c r="E111" i="1"/>
  <c r="L19" i="1" l="1"/>
  <c r="L19" i="5"/>
  <c r="Q13" i="4"/>
  <c r="Q11" i="4"/>
  <c r="Q15" i="4"/>
  <c r="Q12" i="4"/>
  <c r="Q17" i="4"/>
  <c r="Q20" i="4"/>
  <c r="Q18" i="4"/>
  <c r="Q16" i="4"/>
  <c r="Q14" i="4"/>
  <c r="Q19" i="4"/>
  <c r="Q111" i="1"/>
  <c r="F25" i="1" l="1"/>
  <c r="F26" i="1"/>
  <c r="F28" i="1"/>
  <c r="F29" i="1"/>
  <c r="F30" i="1"/>
  <c r="F31" i="1"/>
  <c r="E33" i="1"/>
  <c r="Q33" i="1" s="1"/>
  <c r="E34" i="1"/>
  <c r="Q34" i="1" s="1"/>
  <c r="E36" i="1"/>
  <c r="Q36" i="1" s="1"/>
  <c r="E37" i="1"/>
  <c r="Q37" i="1" s="1"/>
  <c r="E38" i="1"/>
  <c r="Q38" i="1" s="1"/>
  <c r="E39" i="1"/>
  <c r="Q39" i="1" s="1"/>
  <c r="E70" i="1"/>
  <c r="Q70" i="1" s="1"/>
  <c r="E23" i="1"/>
  <c r="Q23" i="1" s="1"/>
  <c r="E22" i="1"/>
  <c r="Q22" i="1" s="1"/>
  <c r="E12" i="1"/>
  <c r="Q12" i="1" s="1"/>
  <c r="E13" i="1"/>
  <c r="Q13" i="1" s="1"/>
  <c r="E14" i="1"/>
  <c r="Q14" i="1" s="1"/>
  <c r="E15" i="1"/>
  <c r="Q15" i="1" s="1"/>
  <c r="E16" i="1"/>
  <c r="Q16" i="1" s="1"/>
  <c r="E17" i="1"/>
  <c r="Q17" i="1" s="1"/>
  <c r="E18" i="1"/>
  <c r="Q18" i="1" s="1"/>
  <c r="E19" i="1"/>
  <c r="Q19" i="1" s="1"/>
  <c r="E20" i="1"/>
  <c r="Q20" i="1" s="1"/>
  <c r="E11" i="1"/>
  <c r="Q11" i="1" s="1"/>
  <c r="E80" i="1"/>
  <c r="Q80" i="1" s="1"/>
  <c r="E81" i="1"/>
  <c r="Q81" i="1" s="1"/>
  <c r="E82" i="1"/>
  <c r="Q82" i="1" s="1"/>
  <c r="E83" i="1"/>
  <c r="Q83" i="1" s="1"/>
  <c r="E84" i="1"/>
  <c r="Q84" i="1" s="1"/>
  <c r="E85" i="1"/>
  <c r="Q85" i="1" s="1"/>
  <c r="E86" i="1"/>
  <c r="Q86" i="1" s="1"/>
  <c r="E87" i="1"/>
  <c r="Q87" i="1" s="1"/>
  <c r="E88" i="1"/>
  <c r="Q88" i="1" s="1"/>
  <c r="E89" i="1"/>
  <c r="Q89" i="1" s="1"/>
  <c r="E90" i="1"/>
  <c r="Q90" i="1" s="1"/>
  <c r="E91" i="1"/>
  <c r="Q91" i="1" s="1"/>
  <c r="E92" i="1"/>
  <c r="Q92" i="1" s="1"/>
  <c r="E93" i="1"/>
  <c r="Q93" i="1" s="1"/>
  <c r="E94" i="1"/>
  <c r="Q94" i="1" s="1"/>
  <c r="E95" i="1"/>
  <c r="Q95" i="1" s="1"/>
  <c r="E97" i="1"/>
  <c r="Q97" i="1" s="1"/>
  <c r="E98" i="1"/>
  <c r="Q98" i="1" s="1"/>
  <c r="E99" i="1"/>
  <c r="Q99" i="1" s="1"/>
  <c r="E100" i="1"/>
  <c r="Q100" i="1" s="1"/>
  <c r="E101" i="1"/>
  <c r="Q101" i="1" s="1"/>
  <c r="E102" i="1"/>
  <c r="Q102" i="1" s="1"/>
  <c r="E103" i="1"/>
  <c r="Q103" i="1" s="1"/>
  <c r="E104" i="1"/>
  <c r="Q104" i="1" s="1"/>
  <c r="E105" i="1"/>
  <c r="Q105" i="1" s="1"/>
  <c r="E106" i="1"/>
  <c r="Q106" i="1" s="1"/>
  <c r="E107" i="1"/>
  <c r="Q107" i="1" s="1"/>
  <c r="E108" i="1"/>
  <c r="Q108" i="1" s="1"/>
  <c r="E109" i="1"/>
  <c r="Q109" i="1" s="1"/>
  <c r="E110" i="1"/>
  <c r="Q110" i="1" s="1"/>
  <c r="E79" i="1"/>
  <c r="Q79" i="1" s="1"/>
  <c r="E72" i="1"/>
  <c r="Q72" i="1" s="1"/>
  <c r="E73" i="1"/>
  <c r="Q73" i="1" s="1"/>
  <c r="E74" i="1"/>
  <c r="Q74" i="1" s="1"/>
  <c r="E75" i="1"/>
  <c r="Q75" i="1" s="1"/>
  <c r="E76" i="1"/>
  <c r="Q76" i="1" s="1"/>
  <c r="E77" i="1"/>
  <c r="Q77" i="1" s="1"/>
  <c r="E71" i="1"/>
  <c r="Q71" i="1" s="1"/>
  <c r="E48" i="1"/>
  <c r="Q48" i="1" s="1"/>
  <c r="E49" i="1"/>
  <c r="Q49" i="1" s="1"/>
  <c r="E50" i="1"/>
  <c r="Q50" i="1" s="1"/>
  <c r="E51" i="1"/>
  <c r="Q51" i="1" s="1"/>
  <c r="E52" i="1"/>
  <c r="Q52" i="1" s="1"/>
  <c r="E53" i="1"/>
  <c r="Q53" i="1" s="1"/>
  <c r="E54" i="1"/>
  <c r="Q54" i="1" s="1"/>
  <c r="E55" i="1"/>
  <c r="Q55" i="1" s="1"/>
  <c r="E56" i="1"/>
  <c r="Q56" i="1" s="1"/>
  <c r="E57" i="1"/>
  <c r="Q57" i="1" s="1"/>
  <c r="E58" i="1"/>
  <c r="Q58" i="1" s="1"/>
  <c r="E59" i="1"/>
  <c r="Q59" i="1" s="1"/>
  <c r="E60" i="1"/>
  <c r="Q60" i="1" s="1"/>
  <c r="E61" i="1"/>
  <c r="Q61" i="1" s="1"/>
  <c r="E62" i="1"/>
  <c r="Q62" i="1" s="1"/>
  <c r="E63" i="1"/>
  <c r="Q63" i="1" s="1"/>
  <c r="E64" i="1"/>
  <c r="Q64" i="1" s="1"/>
  <c r="E65" i="1"/>
  <c r="Q65" i="1" s="1"/>
  <c r="E66" i="1"/>
  <c r="Q66" i="1" s="1"/>
  <c r="E67" i="1"/>
  <c r="Q67" i="1" s="1"/>
  <c r="E68" i="1"/>
  <c r="Q68" i="1" s="1"/>
  <c r="E69" i="1"/>
  <c r="Q69" i="1" s="1"/>
  <c r="E47" i="1"/>
  <c r="Q47" i="1" s="1"/>
  <c r="E40" i="1"/>
  <c r="Q40" i="1" s="1"/>
  <c r="E41" i="1"/>
  <c r="Q41" i="1" s="1"/>
  <c r="E42" i="1"/>
  <c r="Q42" i="1" s="1"/>
  <c r="E43" i="1"/>
  <c r="Q43" i="1" s="1"/>
  <c r="E44" i="1"/>
  <c r="Q44" i="1" s="1"/>
  <c r="E45" i="1"/>
  <c r="Q45" i="1" s="1"/>
  <c r="E25" i="1"/>
  <c r="E26" i="1"/>
  <c r="E27" i="1"/>
  <c r="E28" i="1"/>
  <c r="E29" i="1"/>
  <c r="E30" i="1"/>
  <c r="E31" i="1"/>
  <c r="E24" i="1"/>
  <c r="Q24" i="1" s="1"/>
  <c r="Q42" i="5"/>
  <c r="R42" i="5" s="1"/>
  <c r="S42" i="5" s="1"/>
  <c r="T42" i="5" s="1"/>
  <c r="U42" i="5" s="1"/>
  <c r="L4" i="6"/>
  <c r="U27" i="5"/>
  <c r="U28" i="5"/>
  <c r="U26" i="5"/>
  <c r="U25" i="5"/>
  <c r="U3" i="5"/>
  <c r="U4" i="5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9" i="5"/>
  <c r="U30" i="5"/>
  <c r="U31" i="5"/>
  <c r="U32" i="5"/>
  <c r="U33" i="5"/>
  <c r="U34" i="5"/>
  <c r="U35" i="5"/>
  <c r="U36" i="5"/>
  <c r="U37" i="5"/>
  <c r="U38" i="5"/>
  <c r="U39" i="5"/>
  <c r="U2" i="5"/>
  <c r="D2" i="6"/>
  <c r="E2" i="6" s="1"/>
  <c r="E16" i="6" s="1"/>
  <c r="E17" i="6" s="1"/>
  <c r="C4" i="6"/>
  <c r="D4" i="6"/>
  <c r="D5" i="6" s="1"/>
  <c r="E4" i="6"/>
  <c r="C5" i="6"/>
  <c r="E5" i="6"/>
  <c r="C6" i="6"/>
  <c r="D6" i="6"/>
  <c r="D7" i="6" s="1"/>
  <c r="E6" i="6"/>
  <c r="E7" i="6" s="1"/>
  <c r="C8" i="6"/>
  <c r="C9" i="6" s="1"/>
  <c r="D8" i="6"/>
  <c r="D9" i="6" s="1"/>
  <c r="C10" i="6"/>
  <c r="C11" i="6" s="1"/>
  <c r="D10" i="6"/>
  <c r="D11" i="6" s="1"/>
  <c r="C12" i="6"/>
  <c r="C13" i="6" s="1"/>
  <c r="D12" i="6"/>
  <c r="D13" i="6"/>
  <c r="C14" i="6"/>
  <c r="C15" i="6" s="1"/>
  <c r="D14" i="6"/>
  <c r="D15" i="6" s="1"/>
  <c r="C16" i="6"/>
  <c r="C17" i="6" s="1"/>
  <c r="D16" i="6"/>
  <c r="D17" i="6" s="1"/>
  <c r="C18" i="6"/>
  <c r="C19" i="6" s="1"/>
  <c r="D18" i="6"/>
  <c r="D19" i="6" s="1"/>
  <c r="C20" i="6"/>
  <c r="C21" i="6" s="1"/>
  <c r="D20" i="6"/>
  <c r="D21" i="6" s="1"/>
  <c r="C22" i="6"/>
  <c r="D22" i="6"/>
  <c r="D23" i="6" s="1"/>
  <c r="C23" i="6"/>
  <c r="C24" i="6"/>
  <c r="C25" i="6" s="1"/>
  <c r="D24" i="6"/>
  <c r="D25" i="6" s="1"/>
  <c r="E24" i="6"/>
  <c r="E25" i="6" s="1"/>
  <c r="C26" i="6"/>
  <c r="C27" i="6" s="1"/>
  <c r="D26" i="6"/>
  <c r="D27" i="6" s="1"/>
  <c r="E26" i="6"/>
  <c r="E27" i="6" s="1"/>
  <c r="C28" i="6"/>
  <c r="C29" i="6" s="1"/>
  <c r="D28" i="6"/>
  <c r="D29" i="6" s="1"/>
  <c r="C30" i="6"/>
  <c r="C31" i="6" s="1"/>
  <c r="D30" i="6"/>
  <c r="D31" i="6"/>
  <c r="C32" i="6"/>
  <c r="C33" i="6" s="1"/>
  <c r="D32" i="6"/>
  <c r="D33" i="6" s="1"/>
  <c r="E32" i="6"/>
  <c r="E33" i="6" s="1"/>
  <c r="C34" i="6"/>
  <c r="C35" i="6" s="1"/>
  <c r="D34" i="6"/>
  <c r="D35" i="6" s="1"/>
  <c r="E34" i="6"/>
  <c r="E35" i="6" s="1"/>
  <c r="C36" i="6"/>
  <c r="C37" i="6" s="1"/>
  <c r="D36" i="6"/>
  <c r="D37" i="6" s="1"/>
  <c r="C38" i="6"/>
  <c r="D38" i="6"/>
  <c r="C39" i="6"/>
  <c r="D39" i="6"/>
  <c r="AA12" i="5"/>
  <c r="I24" i="5"/>
  <c r="B26" i="5"/>
  <c r="H26" i="5"/>
  <c r="H27" i="5"/>
  <c r="G32" i="5"/>
  <c r="H32" i="5" s="1"/>
  <c r="G33" i="5"/>
  <c r="H33" i="5" s="1"/>
  <c r="G34" i="5"/>
  <c r="H34" i="5" s="1"/>
  <c r="AC23" i="5" l="1"/>
  <c r="AC40" i="5"/>
  <c r="Q31" i="1"/>
  <c r="Q30" i="1"/>
  <c r="Q26" i="1"/>
  <c r="Q29" i="1"/>
  <c r="Q27" i="1"/>
  <c r="Q25" i="1"/>
  <c r="Q28" i="1"/>
  <c r="AA5" i="5"/>
  <c r="AA3" i="5"/>
  <c r="E36" i="6"/>
  <c r="E37" i="6" s="1"/>
  <c r="E10" i="6"/>
  <c r="E11" i="6" s="1"/>
  <c r="E8" i="6"/>
  <c r="E9" i="6" s="1"/>
  <c r="E18" i="6"/>
  <c r="E19" i="6" s="1"/>
  <c r="E14" i="6"/>
  <c r="E15" i="6" s="1"/>
  <c r="E22" i="6"/>
  <c r="E23" i="6" s="1"/>
  <c r="E30" i="6"/>
  <c r="E31" i="6" s="1"/>
  <c r="E38" i="6"/>
  <c r="E39" i="6" s="1"/>
  <c r="E28" i="6"/>
  <c r="E29" i="6" s="1"/>
  <c r="F2" i="6"/>
  <c r="E12" i="6"/>
  <c r="E13" i="6" s="1"/>
  <c r="E20" i="6"/>
  <c r="E21" i="6" s="1"/>
  <c r="F4" i="6" l="1"/>
  <c r="F5" i="6" s="1"/>
  <c r="F12" i="6"/>
  <c r="F13" i="6" s="1"/>
  <c r="F10" i="6"/>
  <c r="F11" i="6" s="1"/>
  <c r="F20" i="6"/>
  <c r="F21" i="6" s="1"/>
  <c r="F28" i="6"/>
  <c r="F29" i="6" s="1"/>
  <c r="F36" i="6"/>
  <c r="F37" i="6" s="1"/>
  <c r="F14" i="6"/>
  <c r="F15" i="6" s="1"/>
  <c r="F22" i="6"/>
  <c r="F23" i="6" s="1"/>
  <c r="F30" i="6"/>
  <c r="F31" i="6" s="1"/>
  <c r="F38" i="6"/>
  <c r="F39" i="6" s="1"/>
  <c r="G2" i="6"/>
  <c r="F6" i="6"/>
  <c r="F7" i="6" s="1"/>
  <c r="F26" i="6"/>
  <c r="F27" i="6" s="1"/>
  <c r="F34" i="6"/>
  <c r="F35" i="6" s="1"/>
  <c r="F8" i="6"/>
  <c r="F9" i="6" s="1"/>
  <c r="F32" i="6"/>
  <c r="F33" i="6" s="1"/>
  <c r="F18" i="6"/>
  <c r="F19" i="6" s="1"/>
  <c r="F16" i="6"/>
  <c r="F17" i="6" s="1"/>
  <c r="F24" i="6"/>
  <c r="F25" i="6" s="1"/>
  <c r="AA4" i="5"/>
  <c r="AA2" i="5"/>
  <c r="G16" i="6" l="1"/>
  <c r="G17" i="6" s="1"/>
  <c r="G24" i="6"/>
  <c r="G25" i="6" s="1"/>
  <c r="G32" i="6"/>
  <c r="G33" i="6" s="1"/>
  <c r="G12" i="6"/>
  <c r="G13" i="6" s="1"/>
  <c r="G20" i="6"/>
  <c r="G21" i="6" s="1"/>
  <c r="G28" i="6"/>
  <c r="G29" i="6" s="1"/>
  <c r="G36" i="6"/>
  <c r="G37" i="6" s="1"/>
  <c r="G10" i="6"/>
  <c r="G11" i="6" s="1"/>
  <c r="G4" i="6"/>
  <c r="G5" i="6" s="1"/>
  <c r="G14" i="6"/>
  <c r="G15" i="6" s="1"/>
  <c r="G22" i="6"/>
  <c r="G23" i="6" s="1"/>
  <c r="G30" i="6"/>
  <c r="G31" i="6" s="1"/>
  <c r="G38" i="6"/>
  <c r="G39" i="6" s="1"/>
  <c r="H2" i="6"/>
  <c r="G6" i="6"/>
  <c r="G7" i="6" s="1"/>
  <c r="G34" i="6"/>
  <c r="G35" i="6" s="1"/>
  <c r="G8" i="6"/>
  <c r="G9" i="6" s="1"/>
  <c r="G18" i="6"/>
  <c r="G19" i="6" s="1"/>
  <c r="G26" i="6"/>
  <c r="G27" i="6" s="1"/>
  <c r="I18" i="3"/>
  <c r="I17" i="3"/>
  <c r="I16" i="3"/>
  <c r="I15" i="3"/>
  <c r="I14" i="3"/>
  <c r="I13" i="3"/>
  <c r="I12" i="3"/>
  <c r="I11" i="3"/>
  <c r="I10" i="3"/>
  <c r="I9" i="3"/>
  <c r="AA15" i="5"/>
  <c r="AA16" i="5"/>
  <c r="AA17" i="5"/>
  <c r="H6" i="6" l="1"/>
  <c r="H7" i="6" s="1"/>
  <c r="H30" i="6"/>
  <c r="H31" i="6" s="1"/>
  <c r="H38" i="6"/>
  <c r="H39" i="6" s="1"/>
  <c r="I2" i="6"/>
  <c r="H12" i="6"/>
  <c r="H13" i="6" s="1"/>
  <c r="H20" i="6"/>
  <c r="H21" i="6" s="1"/>
  <c r="H16" i="6"/>
  <c r="H17" i="6" s="1"/>
  <c r="H24" i="6"/>
  <c r="H25" i="6" s="1"/>
  <c r="H32" i="6"/>
  <c r="H33" i="6" s="1"/>
  <c r="H14" i="6"/>
  <c r="H15" i="6" s="1"/>
  <c r="H22" i="6"/>
  <c r="H23" i="6" s="1"/>
  <c r="H4" i="6"/>
  <c r="H5" i="6" s="1"/>
  <c r="H18" i="6"/>
  <c r="H19" i="6" s="1"/>
  <c r="H28" i="6"/>
  <c r="H29" i="6" s="1"/>
  <c r="H10" i="6"/>
  <c r="H11" i="6" s="1"/>
  <c r="H8" i="6"/>
  <c r="H9" i="6" s="1"/>
  <c r="H26" i="6"/>
  <c r="H27" i="6" s="1"/>
  <c r="H36" i="6"/>
  <c r="H37" i="6" s="1"/>
  <c r="H34" i="6"/>
  <c r="H35" i="6" s="1"/>
  <c r="AA18" i="5"/>
  <c r="AA14" i="5"/>
  <c r="AA11" i="5"/>
  <c r="AA6" i="5"/>
  <c r="AA7" i="5"/>
  <c r="AA10" i="5"/>
  <c r="AA13" i="5"/>
  <c r="AA9" i="5" l="1"/>
  <c r="AA8" i="5"/>
  <c r="I30" i="6"/>
  <c r="I31" i="6" s="1"/>
  <c r="J2" i="6"/>
  <c r="I12" i="6"/>
  <c r="I13" i="6" s="1"/>
  <c r="I6" i="6"/>
  <c r="I7" i="6" s="1"/>
  <c r="I14" i="6"/>
  <c r="I15" i="6" s="1"/>
  <c r="I22" i="6"/>
  <c r="I23" i="6" s="1"/>
  <c r="I38" i="6"/>
  <c r="I39" i="6" s="1"/>
  <c r="I16" i="6"/>
  <c r="I17" i="6" s="1"/>
  <c r="I24" i="6"/>
  <c r="I25" i="6" s="1"/>
  <c r="I32" i="6"/>
  <c r="I33" i="6" s="1"/>
  <c r="I4" i="6"/>
  <c r="I5" i="6" s="1"/>
  <c r="I8" i="6"/>
  <c r="I9" i="6" s="1"/>
  <c r="I18" i="6"/>
  <c r="I19" i="6" s="1"/>
  <c r="I28" i="6"/>
  <c r="I29" i="6" s="1"/>
  <c r="I10" i="6"/>
  <c r="I11" i="6" s="1"/>
  <c r="I20" i="6"/>
  <c r="I21" i="6" s="1"/>
  <c r="I26" i="6"/>
  <c r="I27" i="6" s="1"/>
  <c r="I36" i="6"/>
  <c r="I37" i="6" s="1"/>
  <c r="I34" i="6"/>
  <c r="I35" i="6" s="1"/>
  <c r="J8" i="6" l="1"/>
  <c r="J9" i="6" s="1"/>
  <c r="J18" i="6"/>
  <c r="J19" i="6" s="1"/>
  <c r="J26" i="6"/>
  <c r="J27" i="6" s="1"/>
  <c r="J34" i="6"/>
  <c r="J35" i="6" s="1"/>
  <c r="J4" i="6"/>
  <c r="J5" i="6" s="1"/>
  <c r="J14" i="6"/>
  <c r="J15" i="6" s="1"/>
  <c r="J22" i="6"/>
  <c r="J23" i="6" s="1"/>
  <c r="J38" i="6"/>
  <c r="J39" i="6" s="1"/>
  <c r="K2" i="6"/>
  <c r="J30" i="6"/>
  <c r="J31" i="6" s="1"/>
  <c r="J6" i="6"/>
  <c r="J7" i="6" s="1"/>
  <c r="J16" i="6"/>
  <c r="J17" i="6" s="1"/>
  <c r="J24" i="6"/>
  <c r="J25" i="6" s="1"/>
  <c r="J32" i="6"/>
  <c r="J33" i="6" s="1"/>
  <c r="J36" i="6"/>
  <c r="J37" i="6" s="1"/>
  <c r="J20" i="6"/>
  <c r="J21" i="6" s="1"/>
  <c r="J10" i="6"/>
  <c r="J11" i="6" s="1"/>
  <c r="J28" i="6"/>
  <c r="J29" i="6" s="1"/>
  <c r="J12" i="6"/>
  <c r="J13" i="6" s="1"/>
  <c r="K32" i="6" l="1"/>
  <c r="K33" i="6" s="1"/>
  <c r="K14" i="6"/>
  <c r="K15" i="6" s="1"/>
  <c r="K8" i="6"/>
  <c r="K9" i="6" s="1"/>
  <c r="K18" i="6"/>
  <c r="K19" i="6" s="1"/>
  <c r="K26" i="6"/>
  <c r="K27" i="6" s="1"/>
  <c r="K34" i="6"/>
  <c r="K35" i="6" s="1"/>
  <c r="K24" i="6"/>
  <c r="K25" i="6" s="1"/>
  <c r="K4" i="6"/>
  <c r="K5" i="6" s="1"/>
  <c r="K6" i="6"/>
  <c r="K7" i="6" s="1"/>
  <c r="K16" i="6"/>
  <c r="K17" i="6" s="1"/>
  <c r="K10" i="6"/>
  <c r="K11" i="6" s="1"/>
  <c r="K30" i="6"/>
  <c r="K31" i="6" s="1"/>
  <c r="L2" i="6"/>
  <c r="K38" i="6"/>
  <c r="K39" i="6" s="1"/>
  <c r="K22" i="6"/>
  <c r="K23" i="6" s="1"/>
  <c r="K36" i="6"/>
  <c r="K37" i="6" s="1"/>
  <c r="K12" i="6"/>
  <c r="K13" i="6" s="1"/>
  <c r="K28" i="6"/>
  <c r="K29" i="6" s="1"/>
  <c r="K20" i="6"/>
  <c r="K21" i="6" s="1"/>
  <c r="L10" i="6" l="1"/>
  <c r="L16" i="6"/>
  <c r="L24" i="6"/>
  <c r="L32" i="6"/>
  <c r="L8" i="6"/>
  <c r="L18" i="6"/>
  <c r="L26" i="6"/>
  <c r="L34" i="6"/>
  <c r="L6" i="6"/>
  <c r="L30" i="6"/>
  <c r="L36" i="6"/>
  <c r="L28" i="6"/>
  <c r="L38" i="6"/>
  <c r="L14" i="6"/>
  <c r="L22" i="6"/>
  <c r="L12" i="6"/>
  <c r="L20" i="6"/>
  <c r="N30" i="6" l="1"/>
  <c r="L31" i="6"/>
  <c r="N36" i="6"/>
  <c r="L37" i="6"/>
  <c r="L19" i="6"/>
  <c r="N18" i="6"/>
  <c r="N20" i="6"/>
  <c r="L21" i="6"/>
  <c r="L9" i="6"/>
  <c r="N8" i="6"/>
  <c r="Q8" i="6" s="1"/>
  <c r="N12" i="6"/>
  <c r="Q12" i="6" s="1"/>
  <c r="L13" i="6"/>
  <c r="L5" i="6"/>
  <c r="N4" i="6"/>
  <c r="Q4" i="6" s="1"/>
  <c r="N6" i="6"/>
  <c r="Q6" i="6" s="1"/>
  <c r="L7" i="6"/>
  <c r="L23" i="6"/>
  <c r="N22" i="6"/>
  <c r="N32" i="6"/>
  <c r="L33" i="6"/>
  <c r="L15" i="6"/>
  <c r="N14" i="6"/>
  <c r="L39" i="6"/>
  <c r="N38" i="6"/>
  <c r="N16" i="6"/>
  <c r="L17" i="6"/>
  <c r="L35" i="6"/>
  <c r="N34" i="6"/>
  <c r="L27" i="6"/>
  <c r="N26" i="6"/>
  <c r="N24" i="6"/>
  <c r="L25" i="6"/>
  <c r="N28" i="6"/>
  <c r="L29" i="6"/>
  <c r="L11" i="6"/>
  <c r="N10" i="6"/>
  <c r="Q10" i="6" s="1"/>
</calcChain>
</file>

<file path=xl/sharedStrings.xml><?xml version="1.0" encoding="utf-8"?>
<sst xmlns="http://schemas.openxmlformats.org/spreadsheetml/2006/main" count="677" uniqueCount="263">
  <si>
    <t>PROCURADURÍA GENERAL DE LA NACIÓN</t>
  </si>
  <si>
    <t>DENOMINACIÓN DE CARGO</t>
  </si>
  <si>
    <t>Grado</t>
  </si>
  <si>
    <t>Asignación Básica
 Mensual</t>
  </si>
  <si>
    <t>Prima de Antigüedad</t>
  </si>
  <si>
    <t>Prima Mensual Decreto 1544/20</t>
  </si>
  <si>
    <t>Gastos de Representación</t>
  </si>
  <si>
    <t>Prima Técnica</t>
  </si>
  <si>
    <t>Bonificación Judicial</t>
  </si>
  <si>
    <t>Bonificación Compensación</t>
  </si>
  <si>
    <t>Básica</t>
  </si>
  <si>
    <t>Mensual</t>
  </si>
  <si>
    <t>NIVEL DIRECTIVO</t>
  </si>
  <si>
    <t>PROCURADOR GRAL. NACION</t>
  </si>
  <si>
    <t>0PG-EA</t>
  </si>
  <si>
    <t>VICEPROCURADOR GENERAL</t>
  </si>
  <si>
    <t>0PV-EA</t>
  </si>
  <si>
    <t>PROCURADOR DELEGADO</t>
  </si>
  <si>
    <t>0PD-EA</t>
  </si>
  <si>
    <t>DIRECTOR</t>
  </si>
  <si>
    <t>0DI-EB</t>
  </si>
  <si>
    <t>PROCURADOR AUXILIAR</t>
  </si>
  <si>
    <t>0PX-EB</t>
  </si>
  <si>
    <t>VEEDOR</t>
  </si>
  <si>
    <t>0VE-EB</t>
  </si>
  <si>
    <t>SECRETARIO GENERAL</t>
  </si>
  <si>
    <t>0SG-EB</t>
  </si>
  <si>
    <t>PROCURADOR REGIONAL</t>
  </si>
  <si>
    <t>0PR-ED</t>
  </si>
  <si>
    <t>PROCURADOR DISTRITAL</t>
  </si>
  <si>
    <t>0PI-EE</t>
  </si>
  <si>
    <t>PROCURADOR PROVINCIAL</t>
  </si>
  <si>
    <t>0PP-EF</t>
  </si>
  <si>
    <t>NIVEL ASESOR</t>
  </si>
  <si>
    <t>SECRETARIO PRIVADO</t>
  </si>
  <si>
    <t>1SP-25</t>
  </si>
  <si>
    <t>JEFE DE OFICINA</t>
  </si>
  <si>
    <t>1JO-25</t>
  </si>
  <si>
    <t>ASESOR</t>
  </si>
  <si>
    <t>NIVEL EJECUTIVO</t>
  </si>
  <si>
    <t>JEFE DE DIVISION</t>
  </si>
  <si>
    <t>2JD-22</t>
  </si>
  <si>
    <t>TESORERO</t>
  </si>
  <si>
    <t>2TE-21</t>
  </si>
  <si>
    <t>NIVEL PROFESIONAL</t>
  </si>
  <si>
    <t>PROCURADOR JUDICIAL II</t>
  </si>
  <si>
    <t>3PJ-EC</t>
  </si>
  <si>
    <t>PROCURADOR JUDICIAL I</t>
  </si>
  <si>
    <t>3PJ-EG</t>
  </si>
  <si>
    <t>PROFESIONAL UNIVERSITARIO</t>
  </si>
  <si>
    <t>COORDINADOR ADMINISTRATIVO</t>
  </si>
  <si>
    <t>NIVEL TECNICO</t>
  </si>
  <si>
    <t>TECNICO INVESTIGADOR</t>
  </si>
  <si>
    <t>TECNICO CRIMINALISTICA</t>
  </si>
  <si>
    <t>SECRETARIO PROCURADURIA</t>
  </si>
  <si>
    <t>TECNICO ADMINISTRATIVO</t>
  </si>
  <si>
    <t>SUSTANCIADOR</t>
  </si>
  <si>
    <t>NIVEL ADMINISTRATIVO</t>
  </si>
  <si>
    <t>SECRETARIO  EJECUTIVO</t>
  </si>
  <si>
    <t>SECRETARIO EJECUTIVO</t>
  </si>
  <si>
    <t>CAJERO</t>
  </si>
  <si>
    <t>SECRETARIO</t>
  </si>
  <si>
    <t>AUXILIAR ADMINISTRATIVO</t>
  </si>
  <si>
    <t>OFICINISTA</t>
  </si>
  <si>
    <t>NIVEL OPERATIVO</t>
  </si>
  <si>
    <t>AGENTE DE SEGURIDAD</t>
  </si>
  <si>
    <t>CONDUCTOR</t>
  </si>
  <si>
    <t>AUXILIAR MANTENIMIENTO</t>
  </si>
  <si>
    <t>AUXILIAR SERVICIOS GRALES</t>
  </si>
  <si>
    <t xml:space="preserve">CITADOR  </t>
  </si>
  <si>
    <t>Total Salario</t>
  </si>
  <si>
    <t>Prima Especial de Servicios Art. 15 Ley 4 de 1992</t>
  </si>
  <si>
    <t>Prima Especial de Servicios Art. 14 Ley 4 de 1992</t>
  </si>
  <si>
    <t>Prima Especial de Servicios  Ley 4 de 1992,  No Salarial</t>
  </si>
  <si>
    <t>Fuente: Grupo de Gestión Nómina, Afiliaciones y Pensiones</t>
  </si>
  <si>
    <t>REMUNERACIÓN MENSUAL DEL PERSONAL DIRECTIVO DE LA PGN</t>
  </si>
  <si>
    <t>1AS</t>
  </si>
  <si>
    <t>3PU</t>
  </si>
  <si>
    <t>3CA</t>
  </si>
  <si>
    <t>4TI</t>
  </si>
  <si>
    <t>4TC</t>
  </si>
  <si>
    <t>4SP</t>
  </si>
  <si>
    <t>4TM</t>
  </si>
  <si>
    <t>4SU</t>
  </si>
  <si>
    <t>5SJ</t>
  </si>
  <si>
    <t>5CA</t>
  </si>
  <si>
    <t>5SE</t>
  </si>
  <si>
    <t>5AM</t>
  </si>
  <si>
    <t>5OF</t>
  </si>
  <si>
    <t>6AG</t>
  </si>
  <si>
    <t>6CH</t>
  </si>
  <si>
    <t>6AN</t>
  </si>
  <si>
    <t>6AS</t>
  </si>
  <si>
    <t>6CI</t>
  </si>
  <si>
    <t>3*</t>
  </si>
  <si>
    <t>4*</t>
  </si>
  <si>
    <t>6*</t>
  </si>
  <si>
    <t>8*</t>
  </si>
  <si>
    <t>9*</t>
  </si>
  <si>
    <t>10*</t>
  </si>
  <si>
    <t>11*</t>
  </si>
  <si>
    <t>12*</t>
  </si>
  <si>
    <t>14*</t>
  </si>
  <si>
    <t>16*</t>
  </si>
  <si>
    <t>13*</t>
  </si>
  <si>
    <t>15*</t>
  </si>
  <si>
    <t>17*</t>
  </si>
  <si>
    <t>18*</t>
  </si>
  <si>
    <t>3PJ-EG.</t>
  </si>
  <si>
    <t>19*</t>
  </si>
  <si>
    <t>21*</t>
  </si>
  <si>
    <t>22*</t>
  </si>
  <si>
    <t>AUXILIAR  MANTENIMIENTO</t>
  </si>
  <si>
    <t>18 Sincelejo</t>
  </si>
  <si>
    <t>Entre  301,126 y 600,000</t>
  </si>
  <si>
    <t>17 Armenia</t>
  </si>
  <si>
    <t>Entre  300,000 y 600,000</t>
  </si>
  <si>
    <t xml:space="preserve">16 Popayan </t>
  </si>
  <si>
    <t>15 Neiva</t>
  </si>
  <si>
    <t xml:space="preserve"> </t>
  </si>
  <si>
    <t>Total</t>
  </si>
  <si>
    <t>14.Manizales</t>
  </si>
  <si>
    <t>0,522%</t>
  </si>
  <si>
    <t>A.R.P.</t>
  </si>
  <si>
    <t>13.Monteria</t>
  </si>
  <si>
    <t>0,5%</t>
  </si>
  <si>
    <t>ESAP</t>
  </si>
  <si>
    <t>12.Pasto</t>
  </si>
  <si>
    <t>3%</t>
  </si>
  <si>
    <t>I.C.B.F.</t>
  </si>
  <si>
    <t>11.V/cencio</t>
  </si>
  <si>
    <t>05%</t>
  </si>
  <si>
    <t>Sena</t>
  </si>
  <si>
    <t>10.Santa Marta</t>
  </si>
  <si>
    <t>1%</t>
  </si>
  <si>
    <t>Inst.Tecnicos</t>
  </si>
  <si>
    <t>9.Pereira</t>
  </si>
  <si>
    <t>4%</t>
  </si>
  <si>
    <t>Cajas Comp.</t>
  </si>
  <si>
    <t>8.Ibagué</t>
  </si>
  <si>
    <t>12%</t>
  </si>
  <si>
    <t>Salud Patrono</t>
  </si>
  <si>
    <t>7.B/manga</t>
  </si>
  <si>
    <t>8,5%</t>
  </si>
  <si>
    <t>Pension Patrono</t>
  </si>
  <si>
    <t>6.Cúcuta</t>
  </si>
  <si>
    <t>APORTES PATRONALES</t>
  </si>
  <si>
    <t>5.Cartagena</t>
  </si>
  <si>
    <t>Entre 600,000 y 1000,000</t>
  </si>
  <si>
    <t>dependientes 10%</t>
  </si>
  <si>
    <t>4.B/quilla</t>
  </si>
  <si>
    <t>Mas de 1,000,00 habitantes</t>
  </si>
  <si>
    <t>salud</t>
  </si>
  <si>
    <t>3.Cali</t>
  </si>
  <si>
    <t>vivienda</t>
  </si>
  <si>
    <t>2.Medellin</t>
  </si>
  <si>
    <t>MENSUAL</t>
  </si>
  <si>
    <t>AÑO 2021 UVT</t>
  </si>
  <si>
    <t>1.Bogotá</t>
  </si>
  <si>
    <t>valor</t>
  </si>
  <si>
    <t>Ciudad</t>
  </si>
  <si>
    <t>No Habitantes</t>
  </si>
  <si>
    <t>Reviso: Fernando Pereira /Claudia Bolivar</t>
  </si>
  <si>
    <t>Aux. Esp. Tranporte Citadores 6CI-04 -2020</t>
  </si>
  <si>
    <t>Elaboro:Neyid Solórzano</t>
  </si>
  <si>
    <t>(sueldo+gastos+prima antigueda)</t>
  </si>
  <si>
    <t>6, 96%</t>
  </si>
  <si>
    <t xml:space="preserve">4, 35% </t>
  </si>
  <si>
    <t>0, 522%</t>
  </si>
  <si>
    <t xml:space="preserve">  </t>
  </si>
  <si>
    <t>Mayor a</t>
  </si>
  <si>
    <t>(Asign básica más G/tos Representación)</t>
  </si>
  <si>
    <t>Subsidio  Alimentación Gr. 03</t>
  </si>
  <si>
    <t>Penal</t>
  </si>
  <si>
    <t>CH</t>
  </si>
  <si>
    <t>0.50%</t>
  </si>
  <si>
    <t>Menor=</t>
  </si>
  <si>
    <t>Auxlio Transp. Hasta Grado 03</t>
  </si>
  <si>
    <t>Bonificación Servicios Prestados</t>
  </si>
  <si>
    <t>Hasta</t>
  </si>
  <si>
    <t>Salario Minimo</t>
  </si>
  <si>
    <t>0, 5%</t>
  </si>
  <si>
    <t>25 minimos</t>
  </si>
  <si>
    <t>APORTES PARAFISCALES</t>
  </si>
  <si>
    <t>Cajanal 5% y Ley 33 cajanal</t>
  </si>
  <si>
    <t>Antes</t>
  </si>
  <si>
    <t>11, 5%</t>
  </si>
  <si>
    <t>2, 875%</t>
  </si>
  <si>
    <t>8, 625%</t>
  </si>
  <si>
    <t>PENSION PAT.</t>
  </si>
  <si>
    <t>APORTES 1994</t>
  </si>
  <si>
    <t>JEFE DIVISIÓN</t>
  </si>
  <si>
    <t>12, 5%</t>
  </si>
  <si>
    <t>3, 125%</t>
  </si>
  <si>
    <t>9, 375%</t>
  </si>
  <si>
    <t>JEFE OFICINA</t>
  </si>
  <si>
    <t>APORTES 1995</t>
  </si>
  <si>
    <t>PROCUR.  PROVINCIAL</t>
  </si>
  <si>
    <t>13, 5%</t>
  </si>
  <si>
    <t>3, 375%</t>
  </si>
  <si>
    <t>10, 125%</t>
  </si>
  <si>
    <t>APORTES 1996 HASTA 2003</t>
  </si>
  <si>
    <t>14, 5%</t>
  </si>
  <si>
    <t>3, 625%</t>
  </si>
  <si>
    <t>10, 875%</t>
  </si>
  <si>
    <t>PROCUR.  DISTRITAL II</t>
  </si>
  <si>
    <t>APORTES 2004</t>
  </si>
  <si>
    <t>3, 75%</t>
  </si>
  <si>
    <t>11, 25</t>
  </si>
  <si>
    <t>APORTES 2005</t>
  </si>
  <si>
    <t>15, 5%</t>
  </si>
  <si>
    <t>3, 875%</t>
  </si>
  <si>
    <t>11, 625%</t>
  </si>
  <si>
    <t>PROCURADOR   AUXILIAR</t>
  </si>
  <si>
    <t>SALUD PAT.</t>
  </si>
  <si>
    <t>DIRECT. INVES. ESPECIAL.</t>
  </si>
  <si>
    <t>APORTES 2006</t>
  </si>
  <si>
    <t>DIRECTOR  INST. EST. MINP.</t>
  </si>
  <si>
    <t>11, 625</t>
  </si>
  <si>
    <t>PROCUR. DELEGADOS</t>
  </si>
  <si>
    <t>8 ,5%</t>
  </si>
  <si>
    <t>VICEPROCURADOR</t>
  </si>
  <si>
    <t>APORTES 2007</t>
  </si>
  <si>
    <t>PROCURADOR  GENERAL</t>
  </si>
  <si>
    <t>16%</t>
  </si>
  <si>
    <t>Ali.</t>
  </si>
  <si>
    <t>Trasn.</t>
  </si>
  <si>
    <t>Prima Mensual</t>
  </si>
  <si>
    <t>DRECRETO 1251 43,2 Y 47,9  % y decreto 0383-340- 1-02-2018</t>
  </si>
  <si>
    <t>SUB-TOTAL</t>
  </si>
  <si>
    <t>Reviso: Fernando Pereira Toro/Claudia Bolivar</t>
  </si>
  <si>
    <t>APORTES 1994 Decreto 692 (29-03-994)</t>
  </si>
  <si>
    <t>APORTES 1995 Decreto 692 (29-03-994)</t>
  </si>
  <si>
    <t>APORTES 1996 Decreto 692 (29-03-994)</t>
  </si>
  <si>
    <t>APORTES  2004</t>
  </si>
  <si>
    <t>P_Mensual</t>
  </si>
  <si>
    <t>Basico</t>
  </si>
  <si>
    <t>Grados</t>
  </si>
  <si>
    <t>APORTES 2008</t>
  </si>
  <si>
    <t>COEFICIENTE</t>
  </si>
  <si>
    <t>Dtro 54 de 1993</t>
  </si>
  <si>
    <t>Prima Antigüedad</t>
  </si>
  <si>
    <t>Gdos</t>
  </si>
  <si>
    <t>Asignación Básica M</t>
  </si>
  <si>
    <t>Auxilio de Transporte</t>
  </si>
  <si>
    <t>Subsidio de Alimentación</t>
  </si>
  <si>
    <t>4SU-11SJ</t>
  </si>
  <si>
    <r>
      <t>3PJ-EG</t>
    </r>
    <r>
      <rPr>
        <sz val="1"/>
        <rFont val="Arial"/>
        <family val="2"/>
      </rPr>
      <t>.</t>
    </r>
  </si>
  <si>
    <t>Cargo</t>
  </si>
  <si>
    <t>ABM</t>
  </si>
  <si>
    <t>GR</t>
  </si>
  <si>
    <t>PT</t>
  </si>
  <si>
    <t>BXC</t>
  </si>
  <si>
    <t>SECRETARIA GENERAL - DIVISIÓN DE GESTIÓN HUMANA</t>
  </si>
  <si>
    <t>Denominación del Cargo</t>
  </si>
  <si>
    <r>
      <t xml:space="preserve">ESCALA SALARIAL FUNCIONARIOS PÚBLICOS - 2024
</t>
    </r>
    <r>
      <rPr>
        <sz val="8"/>
        <rFont val="Arial"/>
        <family val="2"/>
      </rPr>
      <t>Decretos N° 302 y 550 del 2024</t>
    </r>
  </si>
  <si>
    <t>PROCURADOR JUDICIAL II ***</t>
  </si>
  <si>
    <r>
      <t xml:space="preserve">* Cargos con Prima de Antigüedad. </t>
    </r>
    <r>
      <rPr>
        <b/>
        <sz val="8"/>
        <rFont val="Arial"/>
        <family val="2"/>
      </rPr>
      <t>Decreto 51 de 1993</t>
    </r>
  </si>
  <si>
    <r>
      <t xml:space="preserve">ESCALA SALARIAL FUNCIONARIOS PÚBLICOS - 2026
</t>
    </r>
    <r>
      <rPr>
        <sz val="8"/>
        <rFont val="Arial"/>
        <family val="2"/>
      </rPr>
      <t>Decreto N° 313 de 2026</t>
    </r>
  </si>
  <si>
    <t>Bonificación Judicial
Decreto 383 de 2013</t>
  </si>
  <si>
    <t>Bonificación Compensación
Decretos 610 de 1998 y 1102 de 2012</t>
  </si>
  <si>
    <r>
      <t xml:space="preserve">** Cargos con bonificación por actividad judicial, que se reconoce y paga semestralmente en junio y diciembre de cada vigencia fiscal. </t>
    </r>
    <r>
      <rPr>
        <b/>
        <sz val="8"/>
        <rFont val="Arial"/>
        <family val="2"/>
      </rPr>
      <t>Decreto No. 302 de 2026 $17.800.602</t>
    </r>
  </si>
  <si>
    <t>FPT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</si>
</sst>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00_-;\-* #,##0.0000_-;_-* &quot;-&quot;_-;_-@_-"/>
    <numFmt numFmtId="165" formatCode="_-&quot;$&quot;* #,##0_-;\-&quot;$&quot;* #,##0_-;_-&quot;$&quot;* &quot;-&quot;_-;_-@_-"/>
    <numFmt numFmtId="166" formatCode="General_)"/>
    <numFmt numFmtId="167" formatCode="_-&quot;$&quot;\ * #,##0_-;\-&quot;$&quot;\ * #,##0_-;_-&quot;$&quot;\ 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b/>
      <sz val="10"/>
      <color theme="0" tint="-0.14999847407452621"/>
      <name val="Arial"/>
      <family val="2"/>
    </font>
    <font>
      <sz val="12"/>
      <name val="Courier"/>
      <family val="3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name val="Arial"/>
      <family val="2"/>
    </font>
    <font>
      <u/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8"/>
      <name val="Arial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37" fontId="2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9" fillId="0" borderId="0"/>
    <xf numFmtId="0" fontId="2" fillId="0" borderId="0"/>
  </cellStyleXfs>
  <cellXfs count="214">
    <xf numFmtId="0" fontId="0" fillId="0" borderId="0" xfId="0"/>
    <xf numFmtId="37" fontId="2" fillId="0" borderId="0" xfId="2" applyProtection="1">
      <protection locked="0"/>
    </xf>
    <xf numFmtId="37" fontId="3" fillId="0" borderId="0" xfId="2" applyFont="1" applyProtection="1">
      <protection locked="0"/>
    </xf>
    <xf numFmtId="37" fontId="3" fillId="0" borderId="0" xfId="2" applyFont="1" applyAlignment="1" applyProtection="1">
      <alignment horizontal="center"/>
      <protection locked="0"/>
    </xf>
    <xf numFmtId="37" fontId="2" fillId="0" borderId="1" xfId="2" applyBorder="1" applyProtection="1">
      <protection locked="0"/>
    </xf>
    <xf numFmtId="37" fontId="5" fillId="3" borderId="3" xfId="2" applyFont="1" applyFill="1" applyBorder="1" applyAlignment="1" applyProtection="1">
      <alignment vertical="center"/>
      <protection locked="0"/>
    </xf>
    <xf numFmtId="37" fontId="5" fillId="3" borderId="4" xfId="2" applyFont="1" applyFill="1" applyBorder="1" applyAlignment="1" applyProtection="1">
      <alignment vertical="center"/>
      <protection locked="0"/>
    </xf>
    <xf numFmtId="37" fontId="2" fillId="0" borderId="1" xfId="2" applyBorder="1" applyAlignment="1" applyProtection="1">
      <alignment vertical="center"/>
      <protection locked="0"/>
    </xf>
    <xf numFmtId="37" fontId="2" fillId="0" borderId="2" xfId="2" applyBorder="1" applyAlignment="1" applyProtection="1">
      <alignment vertical="center"/>
      <protection locked="0"/>
    </xf>
    <xf numFmtId="37" fontId="2" fillId="0" borderId="2" xfId="2" applyBorder="1" applyAlignment="1" applyProtection="1">
      <alignment horizontal="center" vertical="center"/>
      <protection locked="0"/>
    </xf>
    <xf numFmtId="165" fontId="2" fillId="0" borderId="2" xfId="4" applyFont="1" applyBorder="1" applyAlignment="1" applyProtection="1">
      <alignment vertical="center"/>
      <protection hidden="1"/>
    </xf>
    <xf numFmtId="37" fontId="2" fillId="0" borderId="0" xfId="2" applyAlignment="1" applyProtection="1">
      <alignment vertical="center"/>
      <protection locked="0"/>
    </xf>
    <xf numFmtId="37" fontId="7" fillId="0" borderId="0" xfId="2" applyFont="1" applyProtection="1">
      <protection locked="0"/>
    </xf>
    <xf numFmtId="37" fontId="2" fillId="0" borderId="0" xfId="2" applyAlignment="1" applyProtection="1">
      <alignment horizontal="center"/>
      <protection locked="0"/>
    </xf>
    <xf numFmtId="164" fontId="6" fillId="3" borderId="4" xfId="1" applyNumberFormat="1" applyFont="1" applyFill="1" applyBorder="1" applyAlignment="1" applyProtection="1">
      <alignment vertical="center"/>
      <protection locked="0"/>
    </xf>
    <xf numFmtId="164" fontId="8" fillId="3" borderId="4" xfId="1" applyNumberFormat="1" applyFont="1" applyFill="1" applyBorder="1" applyAlignment="1" applyProtection="1">
      <alignment vertical="center"/>
      <protection locked="0"/>
    </xf>
    <xf numFmtId="0" fontId="11" fillId="4" borderId="0" xfId="0" applyFont="1" applyFill="1"/>
    <xf numFmtId="1" fontId="11" fillId="4" borderId="0" xfId="0" applyNumberFormat="1" applyFont="1" applyFill="1" applyAlignment="1">
      <alignment horizontal="center"/>
    </xf>
    <xf numFmtId="3" fontId="11" fillId="4" borderId="0" xfId="0" applyNumberFormat="1" applyFont="1" applyFill="1"/>
    <xf numFmtId="1" fontId="11" fillId="4" borderId="0" xfId="0" applyNumberFormat="1" applyFont="1" applyFill="1"/>
    <xf numFmtId="0" fontId="11" fillId="6" borderId="2" xfId="0" applyFont="1" applyFill="1" applyBorder="1" applyAlignment="1">
      <alignment horizontal="center"/>
    </xf>
    <xf numFmtId="1" fontId="11" fillId="6" borderId="2" xfId="0" applyNumberFormat="1" applyFont="1" applyFill="1" applyBorder="1"/>
    <xf numFmtId="3" fontId="11" fillId="6" borderId="2" xfId="0" applyNumberFormat="1" applyFont="1" applyFill="1" applyBorder="1"/>
    <xf numFmtId="3" fontId="11" fillId="4" borderId="2" xfId="0" applyNumberFormat="1" applyFont="1" applyFill="1" applyBorder="1"/>
    <xf numFmtId="0" fontId="11" fillId="4" borderId="2" xfId="0" applyFont="1" applyFill="1" applyBorder="1"/>
    <xf numFmtId="0" fontId="11" fillId="4" borderId="2" xfId="0" applyFont="1" applyFill="1" applyBorder="1" applyAlignment="1">
      <alignment horizontal="center"/>
    </xf>
    <xf numFmtId="1" fontId="11" fillId="4" borderId="2" xfId="0" applyNumberFormat="1" applyFont="1" applyFill="1" applyBorder="1" applyAlignment="1">
      <alignment horizontal="center"/>
    </xf>
    <xf numFmtId="3" fontId="11" fillId="4" borderId="2" xfId="0" applyNumberFormat="1" applyFont="1" applyFill="1" applyBorder="1" applyAlignment="1">
      <alignment horizontal="center"/>
    </xf>
    <xf numFmtId="166" fontId="11" fillId="6" borderId="2" xfId="7" applyFont="1" applyFill="1" applyBorder="1"/>
    <xf numFmtId="9" fontId="11" fillId="6" borderId="2" xfId="7" applyNumberFormat="1" applyFont="1" applyFill="1" applyBorder="1"/>
    <xf numFmtId="166" fontId="11" fillId="6" borderId="2" xfId="7" applyFont="1" applyFill="1" applyBorder="1" applyAlignment="1">
      <alignment horizontal="left"/>
    </xf>
    <xf numFmtId="3" fontId="11" fillId="6" borderId="2" xfId="7" applyNumberFormat="1" applyFont="1" applyFill="1" applyBorder="1"/>
    <xf numFmtId="9" fontId="11" fillId="6" borderId="2" xfId="7" applyNumberFormat="1" applyFont="1" applyFill="1" applyBorder="1" applyAlignment="1">
      <alignment horizontal="right"/>
    </xf>
    <xf numFmtId="3" fontId="11" fillId="6" borderId="2" xfId="7" applyNumberFormat="1" applyFont="1" applyFill="1" applyBorder="1" applyAlignment="1">
      <alignment horizontal="left"/>
    </xf>
    <xf numFmtId="4" fontId="11" fillId="6" borderId="2" xfId="7" applyNumberFormat="1" applyFont="1" applyFill="1" applyBorder="1" applyAlignment="1">
      <alignment horizontal="right"/>
    </xf>
    <xf numFmtId="3" fontId="11" fillId="6" borderId="2" xfId="7" applyNumberFormat="1" applyFont="1" applyFill="1" applyBorder="1" applyAlignment="1">
      <alignment horizontal="right"/>
    </xf>
    <xf numFmtId="9" fontId="11" fillId="6" borderId="2" xfId="7" applyNumberFormat="1" applyFont="1" applyFill="1" applyBorder="1" applyAlignment="1">
      <alignment horizontal="left"/>
    </xf>
    <xf numFmtId="0" fontId="11" fillId="5" borderId="2" xfId="0" applyFont="1" applyFill="1" applyBorder="1" applyAlignment="1">
      <alignment horizontal="center"/>
    </xf>
    <xf numFmtId="3" fontId="11" fillId="5" borderId="2" xfId="0" applyNumberFormat="1" applyFont="1" applyFill="1" applyBorder="1"/>
    <xf numFmtId="3" fontId="11" fillId="5" borderId="0" xfId="0" applyNumberFormat="1" applyFont="1" applyFill="1"/>
    <xf numFmtId="166" fontId="11" fillId="7" borderId="2" xfId="7" applyFont="1" applyFill="1" applyBorder="1"/>
    <xf numFmtId="10" fontId="11" fillId="7" borderId="2" xfId="7" applyNumberFormat="1" applyFont="1" applyFill="1" applyBorder="1" applyAlignment="1">
      <alignment horizontal="right"/>
    </xf>
    <xf numFmtId="3" fontId="11" fillId="7" borderId="2" xfId="7" applyNumberFormat="1" applyFont="1" applyFill="1" applyBorder="1"/>
    <xf numFmtId="0" fontId="11" fillId="5" borderId="0" xfId="0" applyFont="1" applyFill="1"/>
    <xf numFmtId="0" fontId="11" fillId="5" borderId="2" xfId="0" applyFont="1" applyFill="1" applyBorder="1"/>
    <xf numFmtId="3" fontId="11" fillId="6" borderId="0" xfId="7" applyNumberFormat="1" applyFont="1" applyFill="1" applyAlignment="1">
      <alignment horizontal="left"/>
    </xf>
    <xf numFmtId="3" fontId="11" fillId="6" borderId="0" xfId="0" applyNumberFormat="1" applyFont="1" applyFill="1"/>
    <xf numFmtId="0" fontId="12" fillId="4" borderId="0" xfId="0" applyFont="1" applyFill="1"/>
    <xf numFmtId="0" fontId="12" fillId="4" borderId="2" xfId="0" applyFont="1" applyFill="1" applyBorder="1"/>
    <xf numFmtId="3" fontId="12" fillId="4" borderId="2" xfId="0" applyNumberFormat="1" applyFont="1" applyFill="1" applyBorder="1"/>
    <xf numFmtId="3" fontId="12" fillId="5" borderId="2" xfId="0" applyNumberFormat="1" applyFont="1" applyFill="1" applyBorder="1"/>
    <xf numFmtId="0" fontId="12" fillId="5" borderId="2" xfId="0" applyFont="1" applyFill="1" applyBorder="1"/>
    <xf numFmtId="0" fontId="12" fillId="4" borderId="2" xfId="0" applyFont="1" applyFill="1" applyBorder="1" applyAlignment="1">
      <alignment horizontal="center"/>
    </xf>
    <xf numFmtId="1" fontId="13" fillId="6" borderId="0" xfId="0" applyNumberFormat="1" applyFont="1" applyFill="1"/>
    <xf numFmtId="9" fontId="2" fillId="6" borderId="8" xfId="7" applyNumberFormat="1" applyFont="1" applyFill="1" applyBorder="1"/>
    <xf numFmtId="49" fontId="2" fillId="6" borderId="8" xfId="7" applyNumberFormat="1" applyFont="1" applyFill="1" applyBorder="1"/>
    <xf numFmtId="49" fontId="2" fillId="6" borderId="8" xfId="7" applyNumberFormat="1" applyFont="1" applyFill="1" applyBorder="1" applyAlignment="1">
      <alignment horizontal="left"/>
    </xf>
    <xf numFmtId="0" fontId="13" fillId="6" borderId="2" xfId="0" applyFont="1" applyFill="1" applyBorder="1"/>
    <xf numFmtId="4" fontId="11" fillId="4" borderId="0" xfId="0" applyNumberFormat="1" applyFont="1" applyFill="1"/>
    <xf numFmtId="166" fontId="2" fillId="6" borderId="5" xfId="7" applyFont="1" applyFill="1" applyBorder="1"/>
    <xf numFmtId="9" fontId="2" fillId="6" borderId="2" xfId="7" applyNumberFormat="1" applyFont="1" applyFill="1" applyBorder="1" applyAlignment="1">
      <alignment horizontal="right"/>
    </xf>
    <xf numFmtId="9" fontId="2" fillId="6" borderId="2" xfId="7" applyNumberFormat="1" applyFont="1" applyFill="1" applyBorder="1"/>
    <xf numFmtId="3" fontId="2" fillId="6" borderId="2" xfId="7" applyNumberFormat="1" applyFont="1" applyFill="1" applyBorder="1" applyAlignment="1">
      <alignment horizontal="left"/>
    </xf>
    <xf numFmtId="4" fontId="2" fillId="6" borderId="2" xfId="7" applyNumberFormat="1" applyFont="1" applyFill="1" applyBorder="1" applyAlignment="1">
      <alignment horizontal="right"/>
    </xf>
    <xf numFmtId="3" fontId="2" fillId="6" borderId="2" xfId="7" applyNumberFormat="1" applyFont="1" applyFill="1" applyBorder="1" applyAlignment="1">
      <alignment horizontal="right"/>
    </xf>
    <xf numFmtId="9" fontId="2" fillId="6" borderId="2" xfId="7" applyNumberFormat="1" applyFont="1" applyFill="1" applyBorder="1" applyAlignment="1">
      <alignment horizontal="left"/>
    </xf>
    <xf numFmtId="1" fontId="13" fillId="4" borderId="0" xfId="0" applyNumberFormat="1" applyFont="1" applyFill="1"/>
    <xf numFmtId="3" fontId="2" fillId="6" borderId="5" xfId="7" applyNumberFormat="1" applyFont="1" applyFill="1" applyBorder="1"/>
    <xf numFmtId="3" fontId="2" fillId="6" borderId="2" xfId="7" applyNumberFormat="1" applyFont="1" applyFill="1" applyBorder="1"/>
    <xf numFmtId="0" fontId="2" fillId="4" borderId="2" xfId="8" applyFill="1" applyBorder="1"/>
    <xf numFmtId="166" fontId="2" fillId="6" borderId="2" xfId="7" applyFont="1" applyFill="1" applyBorder="1"/>
    <xf numFmtId="1" fontId="2" fillId="6" borderId="0" xfId="0" applyNumberFormat="1" applyFont="1" applyFill="1"/>
    <xf numFmtId="10" fontId="2" fillId="6" borderId="2" xfId="7" applyNumberFormat="1" applyFont="1" applyFill="1" applyBorder="1" applyAlignment="1">
      <alignment horizontal="right"/>
    </xf>
    <xf numFmtId="3" fontId="2" fillId="6" borderId="0" xfId="7" applyNumberFormat="1" applyFont="1" applyFill="1"/>
    <xf numFmtId="3" fontId="2" fillId="6" borderId="0" xfId="7" applyNumberFormat="1" applyFont="1" applyFill="1" applyAlignment="1">
      <alignment horizontal="right"/>
    </xf>
    <xf numFmtId="0" fontId="13" fillId="4" borderId="0" xfId="0" applyFont="1" applyFill="1"/>
    <xf numFmtId="3" fontId="13" fillId="4" borderId="0" xfId="0" applyNumberFormat="1" applyFont="1" applyFill="1"/>
    <xf numFmtId="10" fontId="13" fillId="4" borderId="0" xfId="0" applyNumberFormat="1" applyFont="1" applyFill="1"/>
    <xf numFmtId="1" fontId="13" fillId="6" borderId="0" xfId="0" applyNumberFormat="1" applyFont="1" applyFill="1" applyAlignment="1">
      <alignment horizontal="center" wrapText="1"/>
    </xf>
    <xf numFmtId="0" fontId="13" fillId="6" borderId="0" xfId="0" applyFont="1" applyFill="1"/>
    <xf numFmtId="0" fontId="11" fillId="4" borderId="13" xfId="0" applyFont="1" applyFill="1" applyBorder="1" applyAlignment="1">
      <alignment horizontal="right"/>
    </xf>
    <xf numFmtId="0" fontId="11" fillId="6" borderId="13" xfId="0" applyFont="1" applyFill="1" applyBorder="1" applyAlignment="1">
      <alignment horizontal="right"/>
    </xf>
    <xf numFmtId="0" fontId="11" fillId="4" borderId="14" xfId="0" applyFont="1" applyFill="1" applyBorder="1" applyAlignment="1">
      <alignment horizontal="right"/>
    </xf>
    <xf numFmtId="0" fontId="13" fillId="6" borderId="6" xfId="0" applyFont="1" applyFill="1" applyBorder="1" applyAlignment="1">
      <alignment horizontal="centerContinuous" vertical="center" wrapText="1"/>
    </xf>
    <xf numFmtId="37" fontId="14" fillId="6" borderId="16" xfId="0" applyNumberFormat="1" applyFont="1" applyFill="1" applyBorder="1" applyAlignment="1">
      <alignment horizontal="center"/>
    </xf>
    <xf numFmtId="167" fontId="12" fillId="4" borderId="12" xfId="6" applyNumberFormat="1" applyFont="1" applyFill="1" applyBorder="1"/>
    <xf numFmtId="167" fontId="13" fillId="4" borderId="17" xfId="6" applyNumberFormat="1" applyFont="1" applyFill="1" applyBorder="1"/>
    <xf numFmtId="167" fontId="13" fillId="4" borderId="2" xfId="6" applyNumberFormat="1" applyFont="1" applyFill="1" applyBorder="1"/>
    <xf numFmtId="167" fontId="12" fillId="4" borderId="18" xfId="6" applyNumberFormat="1" applyFont="1" applyFill="1" applyBorder="1"/>
    <xf numFmtId="0" fontId="11" fillId="4" borderId="19" xfId="0" applyFont="1" applyFill="1" applyBorder="1" applyAlignment="1">
      <alignment horizontal="right"/>
    </xf>
    <xf numFmtId="167" fontId="11" fillId="4" borderId="8" xfId="6" applyNumberFormat="1" applyFont="1" applyFill="1" applyBorder="1"/>
    <xf numFmtId="167" fontId="13" fillId="4" borderId="8" xfId="6" applyNumberFormat="1" applyFont="1" applyFill="1" applyBorder="1"/>
    <xf numFmtId="167" fontId="12" fillId="4" borderId="20" xfId="6" applyNumberFormat="1" applyFont="1" applyFill="1" applyBorder="1"/>
    <xf numFmtId="167" fontId="14" fillId="4" borderId="17" xfId="6" applyNumberFormat="1" applyFont="1" applyFill="1" applyBorder="1"/>
    <xf numFmtId="1" fontId="16" fillId="4" borderId="0" xfId="0" applyNumberFormat="1" applyFont="1" applyFill="1" applyAlignment="1">
      <alignment horizontal="center"/>
    </xf>
    <xf numFmtId="1" fontId="17" fillId="6" borderId="15" xfId="0" applyNumberFormat="1" applyFont="1" applyFill="1" applyBorder="1" applyAlignment="1">
      <alignment horizontal="center" vertical="center" wrapText="1"/>
    </xf>
    <xf numFmtId="37" fontId="17" fillId="6" borderId="15" xfId="0" applyNumberFormat="1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/>
    </xf>
    <xf numFmtId="37" fontId="18" fillId="6" borderId="16" xfId="0" applyNumberFormat="1" applyFont="1" applyFill="1" applyBorder="1" applyAlignment="1">
      <alignment horizontal="center" vertical="center"/>
    </xf>
    <xf numFmtId="3" fontId="13" fillId="6" borderId="0" xfId="0" applyNumberFormat="1" applyFont="1" applyFill="1"/>
    <xf numFmtId="1" fontId="2" fillId="6" borderId="0" xfId="8" applyNumberFormat="1" applyFill="1" applyAlignment="1">
      <alignment horizontal="center" wrapText="1"/>
    </xf>
    <xf numFmtId="1" fontId="2" fillId="6" borderId="0" xfId="8" applyNumberFormat="1" applyFill="1" applyAlignment="1">
      <alignment horizontal="center"/>
    </xf>
    <xf numFmtId="1" fontId="11" fillId="0" borderId="0" xfId="0" applyNumberFormat="1" applyFont="1"/>
    <xf numFmtId="1" fontId="13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left"/>
    </xf>
    <xf numFmtId="1" fontId="13" fillId="0" borderId="0" xfId="0" applyNumberFormat="1" applyFont="1" applyAlignment="1">
      <alignment horizontal="center"/>
    </xf>
    <xf numFmtId="3" fontId="20" fillId="6" borderId="0" xfId="0" applyNumberFormat="1" applyFont="1" applyFill="1"/>
    <xf numFmtId="1" fontId="20" fillId="6" borderId="0" xfId="8" applyNumberFormat="1" applyFont="1" applyFill="1" applyAlignment="1">
      <alignment horizontal="center" wrapText="1"/>
    </xf>
    <xf numFmtId="1" fontId="20" fillId="6" borderId="0" xfId="0" applyNumberFormat="1" applyFont="1" applyFill="1"/>
    <xf numFmtId="1" fontId="20" fillId="6" borderId="0" xfId="8" applyNumberFormat="1" applyFont="1" applyFill="1" applyAlignment="1">
      <alignment horizontal="center"/>
    </xf>
    <xf numFmtId="0" fontId="20" fillId="4" borderId="0" xfId="0" applyFont="1" applyFill="1"/>
    <xf numFmtId="1" fontId="20" fillId="4" borderId="0" xfId="0" applyNumberFormat="1" applyFont="1" applyFill="1"/>
    <xf numFmtId="0" fontId="20" fillId="4" borderId="0" xfId="8" applyFont="1" applyFill="1"/>
    <xf numFmtId="0" fontId="20" fillId="4" borderId="0" xfId="8" applyFont="1" applyFill="1" applyAlignment="1">
      <alignment horizontal="center"/>
    </xf>
    <xf numFmtId="0" fontId="20" fillId="6" borderId="0" xfId="8" applyFont="1" applyFill="1" applyAlignment="1">
      <alignment horizontal="left"/>
    </xf>
    <xf numFmtId="3" fontId="20" fillId="6" borderId="0" xfId="8" applyNumberFormat="1" applyFont="1" applyFill="1" applyAlignment="1">
      <alignment horizontal="center"/>
    </xf>
    <xf numFmtId="1" fontId="20" fillId="4" borderId="0" xfId="0" applyNumberFormat="1" applyFont="1" applyFill="1" applyAlignment="1">
      <alignment horizontal="center"/>
    </xf>
    <xf numFmtId="3" fontId="20" fillId="4" borderId="0" xfId="0" applyNumberFormat="1" applyFont="1" applyFill="1"/>
    <xf numFmtId="1" fontId="20" fillId="6" borderId="0" xfId="8" applyNumberFormat="1" applyFont="1" applyFill="1" applyAlignment="1">
      <alignment horizontal="right"/>
    </xf>
    <xf numFmtId="1" fontId="20" fillId="6" borderId="0" xfId="8" applyNumberFormat="1" applyFont="1" applyFill="1" applyAlignment="1">
      <alignment horizontal="left"/>
    </xf>
    <xf numFmtId="3" fontId="20" fillId="4" borderId="0" xfId="0" applyNumberFormat="1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1" fontId="20" fillId="6" borderId="0" xfId="8" applyNumberFormat="1" applyFont="1" applyFill="1"/>
    <xf numFmtId="3" fontId="20" fillId="4" borderId="0" xfId="0" applyNumberFormat="1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1" fontId="20" fillId="4" borderId="0" xfId="5" applyNumberFormat="1" applyFont="1" applyFill="1" applyBorder="1"/>
    <xf numFmtId="1" fontId="20" fillId="6" borderId="0" xfId="0" applyNumberFormat="1" applyFont="1" applyFill="1" applyAlignment="1">
      <alignment horizontal="center" wrapText="1"/>
    </xf>
    <xf numFmtId="49" fontId="20" fillId="4" borderId="0" xfId="0" applyNumberFormat="1" applyFont="1" applyFill="1" applyAlignment="1">
      <alignment horizontal="center"/>
    </xf>
    <xf numFmtId="1" fontId="20" fillId="6" borderId="0" xfId="7" applyNumberFormat="1" applyFont="1" applyFill="1"/>
    <xf numFmtId="49" fontId="20" fillId="4" borderId="0" xfId="0" applyNumberFormat="1" applyFont="1" applyFill="1"/>
    <xf numFmtId="1" fontId="14" fillId="6" borderId="11" xfId="0" applyNumberFormat="1" applyFont="1" applyFill="1" applyBorder="1" applyAlignment="1">
      <alignment horizontal="center" wrapText="1"/>
    </xf>
    <xf numFmtId="1" fontId="14" fillId="6" borderId="15" xfId="0" applyNumberFormat="1" applyFont="1" applyFill="1" applyBorder="1" applyAlignment="1">
      <alignment horizontal="center" wrapText="1"/>
    </xf>
    <xf numFmtId="37" fontId="14" fillId="6" borderId="15" xfId="0" applyNumberFormat="1" applyFont="1" applyFill="1" applyBorder="1" applyAlignment="1">
      <alignment horizontal="center" wrapText="1"/>
    </xf>
    <xf numFmtId="0" fontId="12" fillId="4" borderId="15" xfId="0" applyFont="1" applyFill="1" applyBorder="1" applyAlignment="1">
      <alignment horizontal="center"/>
    </xf>
    <xf numFmtId="0" fontId="14" fillId="6" borderId="2" xfId="0" applyFont="1" applyFill="1" applyBorder="1" applyAlignment="1">
      <alignment horizontal="centerContinuous" vertical="center" wrapText="1"/>
    </xf>
    <xf numFmtId="1" fontId="14" fillId="6" borderId="2" xfId="0" applyNumberFormat="1" applyFont="1" applyFill="1" applyBorder="1" applyAlignment="1">
      <alignment horizontal="centerContinuous" vertical="center" wrapText="1"/>
    </xf>
    <xf numFmtId="1" fontId="14" fillId="0" borderId="2" xfId="0" applyNumberFormat="1" applyFont="1" applyBorder="1" applyAlignment="1">
      <alignment horizontal="centerContinuous" vertical="center" wrapText="1"/>
    </xf>
    <xf numFmtId="167" fontId="14" fillId="0" borderId="2" xfId="6" applyNumberFormat="1" applyFont="1" applyFill="1" applyBorder="1"/>
    <xf numFmtId="39" fontId="2" fillId="0" borderId="0" xfId="2" applyNumberFormat="1" applyProtection="1">
      <protection locked="0"/>
    </xf>
    <xf numFmtId="39" fontId="2" fillId="0" borderId="0" xfId="2" applyNumberFormat="1" applyAlignment="1" applyProtection="1">
      <alignment vertical="center"/>
      <protection locked="0"/>
    </xf>
    <xf numFmtId="37" fontId="5" fillId="0" borderId="0" xfId="2" applyFont="1" applyProtection="1">
      <protection locked="0"/>
    </xf>
    <xf numFmtId="37" fontId="2" fillId="0" borderId="21" xfId="2" applyBorder="1" applyAlignment="1" applyProtection="1">
      <alignment horizontal="center" vertical="center"/>
      <protection locked="0"/>
    </xf>
    <xf numFmtId="165" fontId="2" fillId="0" borderId="21" xfId="4" applyFont="1" applyFill="1" applyBorder="1" applyAlignment="1" applyProtection="1">
      <alignment vertical="center"/>
      <protection hidden="1"/>
    </xf>
    <xf numFmtId="165" fontId="5" fillId="0" borderId="21" xfId="4" applyFont="1" applyFill="1" applyBorder="1" applyAlignment="1" applyProtection="1">
      <alignment vertical="center"/>
      <protection hidden="1"/>
    </xf>
    <xf numFmtId="37" fontId="2" fillId="0" borderId="21" xfId="2" applyBorder="1" applyAlignment="1" applyProtection="1">
      <alignment horizontal="left" vertical="center" indent="1"/>
      <protection locked="0"/>
    </xf>
    <xf numFmtId="37" fontId="5" fillId="3" borderId="22" xfId="2" applyFont="1" applyFill="1" applyBorder="1" applyAlignment="1" applyProtection="1">
      <alignment horizontal="left" vertical="center" indent="1"/>
      <protection locked="0"/>
    </xf>
    <xf numFmtId="37" fontId="5" fillId="3" borderId="23" xfId="2" applyFont="1" applyFill="1" applyBorder="1" applyAlignment="1" applyProtection="1">
      <alignment vertical="center"/>
      <protection locked="0"/>
    </xf>
    <xf numFmtId="37" fontId="5" fillId="3" borderId="24" xfId="2" applyFont="1" applyFill="1" applyBorder="1" applyAlignment="1" applyProtection="1">
      <alignment vertical="center"/>
      <protection locked="0"/>
    </xf>
    <xf numFmtId="37" fontId="5" fillId="3" borderId="23" xfId="2" applyFont="1" applyFill="1" applyBorder="1" applyAlignment="1" applyProtection="1">
      <alignment horizontal="center" vertical="center"/>
      <protection locked="0"/>
    </xf>
    <xf numFmtId="37" fontId="2" fillId="0" borderId="21" xfId="2" applyBorder="1" applyAlignment="1" applyProtection="1">
      <alignment horizontal="left" vertical="center"/>
      <protection locked="0"/>
    </xf>
    <xf numFmtId="37" fontId="3" fillId="0" borderId="0" xfId="2" applyFont="1" applyAlignment="1" applyProtection="1">
      <alignment horizontal="left"/>
      <protection locked="0"/>
    </xf>
    <xf numFmtId="37" fontId="2" fillId="0" borderId="0" xfId="2" applyAlignment="1" applyProtection="1">
      <alignment horizontal="left"/>
      <protection locked="0"/>
    </xf>
    <xf numFmtId="3" fontId="23" fillId="6" borderId="2" xfId="0" applyNumberFormat="1" applyFont="1" applyFill="1" applyBorder="1"/>
    <xf numFmtId="167" fontId="11" fillId="4" borderId="0" xfId="0" applyNumberFormat="1" applyFont="1" applyFill="1"/>
    <xf numFmtId="167" fontId="13" fillId="4" borderId="0" xfId="0" applyNumberFormat="1" applyFont="1" applyFill="1"/>
    <xf numFmtId="37" fontId="22" fillId="0" borderId="0" xfId="2" applyFont="1" applyAlignment="1" applyProtection="1">
      <alignment horizontal="left" vertical="top"/>
      <protection hidden="1"/>
    </xf>
    <xf numFmtId="167" fontId="11" fillId="0" borderId="0" xfId="6" applyNumberFormat="1" applyFont="1"/>
    <xf numFmtId="167" fontId="2" fillId="0" borderId="21" xfId="6" applyNumberFormat="1" applyFont="1" applyFill="1" applyBorder="1" applyAlignment="1" applyProtection="1">
      <alignment vertical="center"/>
      <protection hidden="1"/>
    </xf>
    <xf numFmtId="43" fontId="11" fillId="0" borderId="0" xfId="5" applyFont="1"/>
    <xf numFmtId="43" fontId="2" fillId="0" borderId="21" xfId="5" applyFont="1" applyFill="1" applyBorder="1" applyAlignment="1" applyProtection="1">
      <alignment vertical="center"/>
      <protection hidden="1"/>
    </xf>
    <xf numFmtId="37" fontId="2" fillId="0" borderId="0" xfId="2" applyAlignment="1" applyProtection="1">
      <alignment horizontal="right" vertical="center"/>
      <protection locked="0"/>
    </xf>
    <xf numFmtId="0" fontId="13" fillId="7" borderId="2" xfId="0" applyFont="1" applyFill="1" applyBorder="1"/>
    <xf numFmtId="0" fontId="13" fillId="7" borderId="2" xfId="0" applyFont="1" applyFill="1" applyBorder="1" applyAlignment="1">
      <alignment horizontal="centerContinuous"/>
    </xf>
    <xf numFmtId="167" fontId="13" fillId="7" borderId="2" xfId="6" applyNumberFormat="1" applyFont="1" applyFill="1" applyBorder="1"/>
    <xf numFmtId="167" fontId="2" fillId="7" borderId="2" xfId="6" applyNumberFormat="1" applyFont="1" applyFill="1" applyBorder="1"/>
    <xf numFmtId="0" fontId="13" fillId="7" borderId="2" xfId="0" applyFont="1" applyFill="1" applyBorder="1" applyAlignment="1">
      <alignment horizontal="center"/>
    </xf>
    <xf numFmtId="0" fontId="13" fillId="7" borderId="2" xfId="0" applyFont="1" applyFill="1" applyBorder="1" applyAlignment="1">
      <alignment wrapText="1"/>
    </xf>
    <xf numFmtId="167" fontId="14" fillId="5" borderId="2" xfId="6" applyNumberFormat="1" applyFont="1" applyFill="1" applyBorder="1"/>
    <xf numFmtId="0" fontId="2" fillId="5" borderId="2" xfId="8" applyFill="1" applyBorder="1" applyAlignment="1">
      <alignment horizontal="center"/>
    </xf>
    <xf numFmtId="1" fontId="13" fillId="7" borderId="14" xfId="0" applyNumberFormat="1" applyFont="1" applyFill="1" applyBorder="1"/>
    <xf numFmtId="3" fontId="23" fillId="7" borderId="2" xfId="0" applyNumberFormat="1" applyFont="1" applyFill="1" applyBorder="1"/>
    <xf numFmtId="1" fontId="13" fillId="7" borderId="13" xfId="0" applyNumberFormat="1" applyFont="1" applyFill="1" applyBorder="1"/>
    <xf numFmtId="1" fontId="13" fillId="7" borderId="13" xfId="0" applyNumberFormat="1" applyFont="1" applyFill="1" applyBorder="1" applyAlignment="1">
      <alignment horizontal="right"/>
    </xf>
    <xf numFmtId="1" fontId="2" fillId="7" borderId="13" xfId="0" applyNumberFormat="1" applyFont="1" applyFill="1" applyBorder="1" applyAlignment="1">
      <alignment horizontal="right"/>
    </xf>
    <xf numFmtId="3" fontId="24" fillId="7" borderId="2" xfId="0" applyNumberFormat="1" applyFont="1" applyFill="1" applyBorder="1"/>
    <xf numFmtId="167" fontId="11" fillId="5" borderId="2" xfId="6" applyNumberFormat="1" applyFont="1" applyFill="1" applyBorder="1"/>
    <xf numFmtId="3" fontId="25" fillId="5" borderId="0" xfId="0" applyNumberFormat="1" applyFont="1" applyFill="1"/>
    <xf numFmtId="3" fontId="25" fillId="5" borderId="2" xfId="0" applyNumberFormat="1" applyFont="1" applyFill="1" applyBorder="1"/>
    <xf numFmtId="167" fontId="13" fillId="5" borderId="2" xfId="6" applyNumberFormat="1" applyFont="1" applyFill="1" applyBorder="1"/>
    <xf numFmtId="37" fontId="3" fillId="3" borderId="21" xfId="2" applyFont="1" applyFill="1" applyBorder="1" applyAlignment="1" applyProtection="1">
      <alignment horizontal="center" vertical="center"/>
      <protection locked="0"/>
    </xf>
    <xf numFmtId="37" fontId="7" fillId="4" borderId="21" xfId="2" applyFont="1" applyFill="1" applyBorder="1" applyAlignment="1" applyProtection="1">
      <alignment horizontal="center" vertical="center"/>
      <protection locked="0"/>
    </xf>
    <xf numFmtId="37" fontId="3" fillId="3" borderId="21" xfId="2" applyFont="1" applyFill="1" applyBorder="1" applyAlignment="1" applyProtection="1">
      <alignment horizontal="center" vertical="center" wrapText="1"/>
      <protection locked="0"/>
    </xf>
    <xf numFmtId="37" fontId="3" fillId="4" borderId="21" xfId="2" applyFont="1" applyFill="1" applyBorder="1" applyAlignment="1" applyProtection="1">
      <alignment horizontal="center"/>
      <protection locked="0"/>
    </xf>
    <xf numFmtId="0" fontId="21" fillId="3" borderId="21" xfId="3" applyFont="1" applyFill="1" applyBorder="1" applyAlignment="1" applyProtection="1">
      <alignment horizontal="center" vertical="center" wrapText="1"/>
      <protection locked="0"/>
    </xf>
    <xf numFmtId="0" fontId="4" fillId="3" borderId="21" xfId="3" applyFont="1" applyFill="1" applyBorder="1" applyAlignment="1" applyProtection="1">
      <alignment horizontal="center" vertical="center" wrapText="1"/>
      <protection locked="0"/>
    </xf>
    <xf numFmtId="37" fontId="2" fillId="0" borderId="21" xfId="2" applyBorder="1" applyAlignment="1" applyProtection="1">
      <alignment horizontal="center" vertical="center"/>
      <protection locked="0"/>
    </xf>
    <xf numFmtId="0" fontId="4" fillId="4" borderId="22" xfId="3" applyFont="1" applyFill="1" applyBorder="1" applyAlignment="1" applyProtection="1">
      <alignment horizontal="center" vertical="center" wrapText="1"/>
      <protection locked="0"/>
    </xf>
    <xf numFmtId="0" fontId="4" fillId="4" borderId="23" xfId="3" applyFont="1" applyFill="1" applyBorder="1" applyAlignment="1" applyProtection="1">
      <alignment horizontal="center" vertical="center" wrapText="1"/>
      <protection locked="0"/>
    </xf>
    <xf numFmtId="0" fontId="4" fillId="4" borderId="24" xfId="3" applyFont="1" applyFill="1" applyBorder="1" applyAlignment="1" applyProtection="1">
      <alignment horizontal="center" vertical="center" wrapText="1"/>
      <protection locked="0"/>
    </xf>
    <xf numFmtId="0" fontId="4" fillId="2" borderId="2" xfId="3" applyFont="1" applyFill="1" applyBorder="1" applyAlignment="1" applyProtection="1">
      <alignment horizontal="center" vertical="center" wrapText="1"/>
      <protection locked="0"/>
    </xf>
    <xf numFmtId="37" fontId="3" fillId="2" borderId="2" xfId="2" applyFont="1" applyFill="1" applyBorder="1" applyAlignment="1" applyProtection="1">
      <alignment horizontal="center"/>
      <protection locked="0"/>
    </xf>
    <xf numFmtId="3" fontId="11" fillId="6" borderId="2" xfId="7" applyNumberFormat="1" applyFont="1" applyFill="1" applyBorder="1" applyAlignment="1">
      <alignment horizontal="left"/>
    </xf>
    <xf numFmtId="166" fontId="11" fillId="6" borderId="2" xfId="7" applyFont="1" applyFill="1" applyBorder="1" applyAlignment="1">
      <alignment horizontal="center"/>
    </xf>
    <xf numFmtId="0" fontId="11" fillId="7" borderId="2" xfId="0" applyFont="1" applyFill="1" applyBorder="1" applyAlignment="1">
      <alignment horizontal="left"/>
    </xf>
    <xf numFmtId="0" fontId="20" fillId="6" borderId="0" xfId="8" applyFont="1" applyFill="1" applyAlignment="1">
      <alignment horizontal="center"/>
    </xf>
    <xf numFmtId="3" fontId="2" fillId="6" borderId="0" xfId="7" applyNumberFormat="1" applyFont="1" applyFill="1" applyAlignment="1">
      <alignment horizontal="left"/>
    </xf>
    <xf numFmtId="166" fontId="2" fillId="6" borderId="5" xfId="7" applyFont="1" applyFill="1" applyBorder="1" applyAlignment="1">
      <alignment horizontal="center"/>
    </xf>
    <xf numFmtId="166" fontId="2" fillId="6" borderId="2" xfId="7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166" fontId="2" fillId="6" borderId="4" xfId="7" applyFont="1" applyFill="1" applyBorder="1" applyAlignment="1">
      <alignment horizontal="center"/>
    </xf>
    <xf numFmtId="0" fontId="20" fillId="4" borderId="0" xfId="8" applyFont="1" applyFill="1" applyAlignment="1">
      <alignment horizontal="center"/>
    </xf>
    <xf numFmtId="1" fontId="20" fillId="4" borderId="0" xfId="8" applyNumberFormat="1" applyFont="1" applyFill="1" applyAlignment="1">
      <alignment horizontal="center"/>
    </xf>
    <xf numFmtId="1" fontId="20" fillId="6" borderId="0" xfId="8" applyNumberFormat="1" applyFont="1" applyFill="1" applyAlignment="1">
      <alignment horizontal="center" wrapText="1"/>
    </xf>
    <xf numFmtId="1" fontId="15" fillId="6" borderId="3" xfId="0" applyNumberFormat="1" applyFont="1" applyFill="1" applyBorder="1" applyAlignment="1">
      <alignment horizontal="center" vertical="center" wrapText="1"/>
    </xf>
    <xf numFmtId="1" fontId="20" fillId="6" borderId="0" xfId="8" applyNumberFormat="1" applyFont="1" applyFill="1" applyAlignment="1">
      <alignment horizontal="left" wrapText="1"/>
    </xf>
    <xf numFmtId="1" fontId="20" fillId="4" borderId="0" xfId="0" applyNumberFormat="1" applyFont="1" applyFill="1" applyAlignment="1">
      <alignment wrapText="1"/>
    </xf>
    <xf numFmtId="1" fontId="20" fillId="6" borderId="0" xfId="8" applyNumberFormat="1" applyFont="1" applyFill="1" applyAlignment="1">
      <alignment horizontal="center"/>
    </xf>
    <xf numFmtId="0" fontId="2" fillId="6" borderId="7" xfId="0" applyFont="1" applyFill="1" applyBorder="1" applyAlignment="1">
      <alignment horizontal="left"/>
    </xf>
    <xf numFmtId="166" fontId="2" fillId="6" borderId="10" xfId="7" applyFont="1" applyFill="1" applyBorder="1" applyAlignment="1">
      <alignment horizontal="center"/>
    </xf>
    <xf numFmtId="166" fontId="2" fillId="6" borderId="9" xfId="7" applyFont="1" applyFill="1" applyBorder="1" applyAlignment="1">
      <alignment horizontal="center"/>
    </xf>
  </cellXfs>
  <cellStyles count="9">
    <cellStyle name="Millares" xfId="5" builtinId="3"/>
    <cellStyle name="Millares [0]" xfId="1" builtinId="6"/>
    <cellStyle name="Moneda" xfId="6" builtinId="4"/>
    <cellStyle name="Moneda [0] 2" xfId="4" xr:uid="{7C48374E-A346-4D46-9D55-FC92466F02F0}"/>
    <cellStyle name="Normal" xfId="0" builtinId="0"/>
    <cellStyle name="Normal 3" xfId="2" xr:uid="{9B4051F0-53AC-48F7-BAAA-B929414BEBC8}"/>
    <cellStyle name="Normal 4" xfId="3" xr:uid="{2CB42A35-EAAD-4CD4-B526-EE711ABD50F4}"/>
    <cellStyle name="Normal_2003" xfId="8" xr:uid="{7FA973D4-2C51-4F9E-A624-1037939D518F}"/>
    <cellStyle name="Normal_Hoja1" xfId="7" xr:uid="{640D94E8-0787-48D7-BB9D-2E69B011B6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mmoreno\Downloads\Anteproyecto%202019\2-1%20Formularios%20Planta%20anteproyecto%202019%20Vac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 4- Planta"/>
      <sheetName val="Formulario 4A - Nómina"/>
      <sheetName val="DESPLEGABLES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431E1-9641-49DE-A056-BF8225C6C0B7}">
  <sheetPr>
    <pageSetUpPr fitToPage="1"/>
  </sheetPr>
  <dimension ref="A1:I41"/>
  <sheetViews>
    <sheetView showGridLines="0" topLeftCell="A3" zoomScale="80" zoomScaleNormal="80" workbookViewId="0">
      <selection activeCell="G28" sqref="G28"/>
    </sheetView>
  </sheetViews>
  <sheetFormatPr baseColWidth="10" defaultColWidth="0" defaultRowHeight="0" customHeight="1" zeroHeight="1" x14ac:dyDescent="0.2"/>
  <cols>
    <col min="1" max="1" width="6.28515625" style="1" customWidth="1"/>
    <col min="2" max="2" width="33.7109375" style="1" customWidth="1"/>
    <col min="3" max="3" width="15.7109375" style="13" customWidth="1"/>
    <col min="4" max="4" width="20.28515625" style="1" customWidth="1"/>
    <col min="5" max="8" width="18.7109375" style="1" customWidth="1"/>
    <col min="9" max="9" width="16.7109375" style="1" customWidth="1"/>
    <col min="10" max="10" width="11.42578125" style="1" customWidth="1"/>
    <col min="11" max="11" width="16.28515625" style="1" customWidth="1"/>
    <col min="12" max="249" width="11.42578125" style="1" customWidth="1"/>
    <col min="250" max="250" width="10.5703125" style="1" customWidth="1"/>
    <col min="251" max="251" width="6.28515625" style="1" customWidth="1"/>
    <col min="252" max="252" width="37.140625" style="1" customWidth="1"/>
    <col min="253" max="253" width="8.140625" style="1" bestFit="1" customWidth="1"/>
    <col min="254" max="254" width="11.42578125" style="1" customWidth="1"/>
    <col min="255" max="255" width="11.7109375" style="1" bestFit="1" customWidth="1"/>
    <col min="256" max="256" width="14.85546875" style="1" bestFit="1" customWidth="1"/>
    <col min="257" max="257" width="13.28515625" style="1" bestFit="1" customWidth="1"/>
    <col min="258" max="258" width="5.85546875" style="1" customWidth="1"/>
    <col min="259" max="259" width="11.42578125" style="1" customWidth="1"/>
    <col min="260" max="506" width="0" style="1" hidden="1"/>
    <col min="507" max="507" width="6.28515625" style="1" customWidth="1"/>
    <col min="508" max="508" width="37.140625" style="1" customWidth="1"/>
    <col min="509" max="509" width="8.140625" style="1" bestFit="1" customWidth="1"/>
    <col min="510" max="510" width="11.42578125" style="1" customWidth="1"/>
    <col min="511" max="511" width="11.7109375" style="1" bestFit="1" customWidth="1"/>
    <col min="512" max="512" width="14.85546875" style="1" bestFit="1" customWidth="1"/>
    <col min="513" max="513" width="13.28515625" style="1" bestFit="1" customWidth="1"/>
    <col min="514" max="514" width="5.85546875" style="1" customWidth="1"/>
    <col min="515" max="515" width="11.42578125" style="1" customWidth="1"/>
    <col min="516" max="762" width="0" style="1" hidden="1"/>
    <col min="763" max="763" width="6.28515625" style="1" customWidth="1"/>
    <col min="764" max="764" width="37.140625" style="1" customWidth="1"/>
    <col min="765" max="765" width="8.140625" style="1" bestFit="1" customWidth="1"/>
    <col min="766" max="766" width="11.42578125" style="1" customWidth="1"/>
    <col min="767" max="767" width="11.7109375" style="1" bestFit="1" customWidth="1"/>
    <col min="768" max="768" width="14.85546875" style="1" bestFit="1" customWidth="1"/>
    <col min="769" max="769" width="13.28515625" style="1" bestFit="1" customWidth="1"/>
    <col min="770" max="770" width="5.85546875" style="1" customWidth="1"/>
    <col min="771" max="771" width="11.42578125" style="1" customWidth="1"/>
    <col min="772" max="1018" width="0" style="1" hidden="1"/>
    <col min="1019" max="1019" width="6.28515625" style="1" customWidth="1"/>
    <col min="1020" max="1020" width="37.140625" style="1" customWidth="1"/>
    <col min="1021" max="1021" width="8.140625" style="1" bestFit="1" customWidth="1"/>
    <col min="1022" max="1022" width="11.42578125" style="1" customWidth="1"/>
    <col min="1023" max="1023" width="11.7109375" style="1" bestFit="1" customWidth="1"/>
    <col min="1024" max="1024" width="14.85546875" style="1" bestFit="1" customWidth="1"/>
    <col min="1025" max="1025" width="13.28515625" style="1" bestFit="1" customWidth="1"/>
    <col min="1026" max="1026" width="5.85546875" style="1" customWidth="1"/>
    <col min="1027" max="1027" width="11.42578125" style="1" customWidth="1"/>
    <col min="1028" max="1274" width="0" style="1" hidden="1"/>
    <col min="1275" max="1275" width="6.28515625" style="1" customWidth="1"/>
    <col min="1276" max="1276" width="37.140625" style="1" customWidth="1"/>
    <col min="1277" max="1277" width="8.140625" style="1" bestFit="1" customWidth="1"/>
    <col min="1278" max="1278" width="11.42578125" style="1" customWidth="1"/>
    <col min="1279" max="1279" width="11.7109375" style="1" bestFit="1" customWidth="1"/>
    <col min="1280" max="1280" width="14.85546875" style="1" bestFit="1" customWidth="1"/>
    <col min="1281" max="1281" width="13.28515625" style="1" bestFit="1" customWidth="1"/>
    <col min="1282" max="1282" width="5.85546875" style="1" customWidth="1"/>
    <col min="1283" max="1283" width="11.42578125" style="1" customWidth="1"/>
    <col min="1284" max="1530" width="0" style="1" hidden="1"/>
    <col min="1531" max="1531" width="6.28515625" style="1" customWidth="1"/>
    <col min="1532" max="1532" width="37.140625" style="1" customWidth="1"/>
    <col min="1533" max="1533" width="8.140625" style="1" bestFit="1" customWidth="1"/>
    <col min="1534" max="1534" width="11.42578125" style="1" customWidth="1"/>
    <col min="1535" max="1535" width="11.7109375" style="1" bestFit="1" customWidth="1"/>
    <col min="1536" max="1536" width="14.85546875" style="1" bestFit="1" customWidth="1"/>
    <col min="1537" max="1537" width="13.28515625" style="1" bestFit="1" customWidth="1"/>
    <col min="1538" max="1538" width="5.85546875" style="1" customWidth="1"/>
    <col min="1539" max="1539" width="11.42578125" style="1" customWidth="1"/>
    <col min="1540" max="1786" width="0" style="1" hidden="1"/>
    <col min="1787" max="1787" width="6.28515625" style="1" customWidth="1"/>
    <col min="1788" max="1788" width="37.140625" style="1" customWidth="1"/>
    <col min="1789" max="1789" width="8.140625" style="1" bestFit="1" customWidth="1"/>
    <col min="1790" max="1790" width="11.42578125" style="1" customWidth="1"/>
    <col min="1791" max="1791" width="11.7109375" style="1" bestFit="1" customWidth="1"/>
    <col min="1792" max="1792" width="14.85546875" style="1" bestFit="1" customWidth="1"/>
    <col min="1793" max="1793" width="13.28515625" style="1" bestFit="1" customWidth="1"/>
    <col min="1794" max="1794" width="5.85546875" style="1" customWidth="1"/>
    <col min="1795" max="1795" width="11.42578125" style="1" customWidth="1"/>
    <col min="1796" max="2042" width="0" style="1" hidden="1"/>
    <col min="2043" max="2043" width="6.28515625" style="1" customWidth="1"/>
    <col min="2044" max="2044" width="37.140625" style="1" customWidth="1"/>
    <col min="2045" max="2045" width="8.140625" style="1" bestFit="1" customWidth="1"/>
    <col min="2046" max="2046" width="11.42578125" style="1" customWidth="1"/>
    <col min="2047" max="2047" width="11.7109375" style="1" bestFit="1" customWidth="1"/>
    <col min="2048" max="2048" width="14.85546875" style="1" bestFit="1" customWidth="1"/>
    <col min="2049" max="2049" width="13.28515625" style="1" bestFit="1" customWidth="1"/>
    <col min="2050" max="2050" width="5.85546875" style="1" customWidth="1"/>
    <col min="2051" max="2051" width="11.42578125" style="1" customWidth="1"/>
    <col min="2052" max="2298" width="0" style="1" hidden="1"/>
    <col min="2299" max="2299" width="6.28515625" style="1" customWidth="1"/>
    <col min="2300" max="2300" width="37.140625" style="1" customWidth="1"/>
    <col min="2301" max="2301" width="8.140625" style="1" bestFit="1" customWidth="1"/>
    <col min="2302" max="2302" width="11.42578125" style="1" customWidth="1"/>
    <col min="2303" max="2303" width="11.7109375" style="1" bestFit="1" customWidth="1"/>
    <col min="2304" max="2304" width="14.85546875" style="1" bestFit="1" customWidth="1"/>
    <col min="2305" max="2305" width="13.28515625" style="1" bestFit="1" customWidth="1"/>
    <col min="2306" max="2306" width="5.85546875" style="1" customWidth="1"/>
    <col min="2307" max="2307" width="11.42578125" style="1" customWidth="1"/>
    <col min="2308" max="2554" width="0" style="1" hidden="1"/>
    <col min="2555" max="2555" width="6.28515625" style="1" customWidth="1"/>
    <col min="2556" max="2556" width="37.140625" style="1" customWidth="1"/>
    <col min="2557" max="2557" width="8.140625" style="1" bestFit="1" customWidth="1"/>
    <col min="2558" max="2558" width="11.42578125" style="1" customWidth="1"/>
    <col min="2559" max="2559" width="11.7109375" style="1" bestFit="1" customWidth="1"/>
    <col min="2560" max="2560" width="14.85546875" style="1" bestFit="1" customWidth="1"/>
    <col min="2561" max="2561" width="13.28515625" style="1" bestFit="1" customWidth="1"/>
    <col min="2562" max="2562" width="5.85546875" style="1" customWidth="1"/>
    <col min="2563" max="2563" width="11.42578125" style="1" customWidth="1"/>
    <col min="2564" max="2810" width="0" style="1" hidden="1"/>
    <col min="2811" max="2811" width="6.28515625" style="1" customWidth="1"/>
    <col min="2812" max="2812" width="37.140625" style="1" customWidth="1"/>
    <col min="2813" max="2813" width="8.140625" style="1" bestFit="1" customWidth="1"/>
    <col min="2814" max="2814" width="11.42578125" style="1" customWidth="1"/>
    <col min="2815" max="2815" width="11.7109375" style="1" bestFit="1" customWidth="1"/>
    <col min="2816" max="2816" width="14.85546875" style="1" bestFit="1" customWidth="1"/>
    <col min="2817" max="2817" width="13.28515625" style="1" bestFit="1" customWidth="1"/>
    <col min="2818" max="2818" width="5.85546875" style="1" customWidth="1"/>
    <col min="2819" max="2819" width="11.42578125" style="1" customWidth="1"/>
    <col min="2820" max="3066" width="0" style="1" hidden="1"/>
    <col min="3067" max="3067" width="6.28515625" style="1" customWidth="1"/>
    <col min="3068" max="3068" width="37.140625" style="1" customWidth="1"/>
    <col min="3069" max="3069" width="8.140625" style="1" bestFit="1" customWidth="1"/>
    <col min="3070" max="3070" width="11.42578125" style="1" customWidth="1"/>
    <col min="3071" max="3071" width="11.7109375" style="1" bestFit="1" customWidth="1"/>
    <col min="3072" max="3072" width="14.85546875" style="1" bestFit="1" customWidth="1"/>
    <col min="3073" max="3073" width="13.28515625" style="1" bestFit="1" customWidth="1"/>
    <col min="3074" max="3074" width="5.85546875" style="1" customWidth="1"/>
    <col min="3075" max="3075" width="11.42578125" style="1" customWidth="1"/>
    <col min="3076" max="3322" width="0" style="1" hidden="1"/>
    <col min="3323" max="3323" width="6.28515625" style="1" customWidth="1"/>
    <col min="3324" max="3324" width="37.140625" style="1" customWidth="1"/>
    <col min="3325" max="3325" width="8.140625" style="1" bestFit="1" customWidth="1"/>
    <col min="3326" max="3326" width="11.42578125" style="1" customWidth="1"/>
    <col min="3327" max="3327" width="11.7109375" style="1" bestFit="1" customWidth="1"/>
    <col min="3328" max="3328" width="14.85546875" style="1" bestFit="1" customWidth="1"/>
    <col min="3329" max="3329" width="13.28515625" style="1" bestFit="1" customWidth="1"/>
    <col min="3330" max="3330" width="5.85546875" style="1" customWidth="1"/>
    <col min="3331" max="3331" width="11.42578125" style="1" customWidth="1"/>
    <col min="3332" max="3578" width="0" style="1" hidden="1"/>
    <col min="3579" max="3579" width="6.28515625" style="1" customWidth="1"/>
    <col min="3580" max="3580" width="37.140625" style="1" customWidth="1"/>
    <col min="3581" max="3581" width="8.140625" style="1" bestFit="1" customWidth="1"/>
    <col min="3582" max="3582" width="11.42578125" style="1" customWidth="1"/>
    <col min="3583" max="3583" width="11.7109375" style="1" bestFit="1" customWidth="1"/>
    <col min="3584" max="3584" width="14.85546875" style="1" bestFit="1" customWidth="1"/>
    <col min="3585" max="3585" width="13.28515625" style="1" bestFit="1" customWidth="1"/>
    <col min="3586" max="3586" width="5.85546875" style="1" customWidth="1"/>
    <col min="3587" max="3587" width="11.42578125" style="1" customWidth="1"/>
    <col min="3588" max="3834" width="0" style="1" hidden="1"/>
    <col min="3835" max="3835" width="6.28515625" style="1" customWidth="1"/>
    <col min="3836" max="3836" width="37.140625" style="1" customWidth="1"/>
    <col min="3837" max="3837" width="8.140625" style="1" bestFit="1" customWidth="1"/>
    <col min="3838" max="3838" width="11.42578125" style="1" customWidth="1"/>
    <col min="3839" max="3839" width="11.7109375" style="1" bestFit="1" customWidth="1"/>
    <col min="3840" max="3840" width="14.85546875" style="1" bestFit="1" customWidth="1"/>
    <col min="3841" max="3841" width="13.28515625" style="1" bestFit="1" customWidth="1"/>
    <col min="3842" max="3842" width="5.85546875" style="1" customWidth="1"/>
    <col min="3843" max="3843" width="11.42578125" style="1" customWidth="1"/>
    <col min="3844" max="4090" width="0" style="1" hidden="1"/>
    <col min="4091" max="4091" width="6.28515625" style="1" customWidth="1"/>
    <col min="4092" max="4092" width="37.140625" style="1" customWidth="1"/>
    <col min="4093" max="4093" width="8.140625" style="1" bestFit="1" customWidth="1"/>
    <col min="4094" max="4094" width="11.42578125" style="1" customWidth="1"/>
    <col min="4095" max="4095" width="11.7109375" style="1" bestFit="1" customWidth="1"/>
    <col min="4096" max="4096" width="14.85546875" style="1" bestFit="1" customWidth="1"/>
    <col min="4097" max="4097" width="13.28515625" style="1" bestFit="1" customWidth="1"/>
    <col min="4098" max="4098" width="5.85546875" style="1" customWidth="1"/>
    <col min="4099" max="4099" width="11.42578125" style="1" customWidth="1"/>
    <col min="4100" max="4346" width="0" style="1" hidden="1"/>
    <col min="4347" max="4347" width="6.28515625" style="1" customWidth="1"/>
    <col min="4348" max="4348" width="37.140625" style="1" customWidth="1"/>
    <col min="4349" max="4349" width="8.140625" style="1" bestFit="1" customWidth="1"/>
    <col min="4350" max="4350" width="11.42578125" style="1" customWidth="1"/>
    <col min="4351" max="4351" width="11.7109375" style="1" bestFit="1" customWidth="1"/>
    <col min="4352" max="4352" width="14.85546875" style="1" bestFit="1" customWidth="1"/>
    <col min="4353" max="4353" width="13.28515625" style="1" bestFit="1" customWidth="1"/>
    <col min="4354" max="4354" width="5.85546875" style="1" customWidth="1"/>
    <col min="4355" max="4355" width="11.42578125" style="1" customWidth="1"/>
    <col min="4356" max="4602" width="0" style="1" hidden="1"/>
    <col min="4603" max="4603" width="6.28515625" style="1" customWidth="1"/>
    <col min="4604" max="4604" width="37.140625" style="1" customWidth="1"/>
    <col min="4605" max="4605" width="8.140625" style="1" bestFit="1" customWidth="1"/>
    <col min="4606" max="4606" width="11.42578125" style="1" customWidth="1"/>
    <col min="4607" max="4607" width="11.7109375" style="1" bestFit="1" customWidth="1"/>
    <col min="4608" max="4608" width="14.85546875" style="1" bestFit="1" customWidth="1"/>
    <col min="4609" max="4609" width="13.28515625" style="1" bestFit="1" customWidth="1"/>
    <col min="4610" max="4610" width="5.85546875" style="1" customWidth="1"/>
    <col min="4611" max="4611" width="11.42578125" style="1" customWidth="1"/>
    <col min="4612" max="4858" width="0" style="1" hidden="1"/>
    <col min="4859" max="4859" width="6.28515625" style="1" customWidth="1"/>
    <col min="4860" max="4860" width="37.140625" style="1" customWidth="1"/>
    <col min="4861" max="4861" width="8.140625" style="1" bestFit="1" customWidth="1"/>
    <col min="4862" max="4862" width="11.42578125" style="1" customWidth="1"/>
    <col min="4863" max="4863" width="11.7109375" style="1" bestFit="1" customWidth="1"/>
    <col min="4864" max="4864" width="14.85546875" style="1" bestFit="1" customWidth="1"/>
    <col min="4865" max="4865" width="13.28515625" style="1" bestFit="1" customWidth="1"/>
    <col min="4866" max="4866" width="5.85546875" style="1" customWidth="1"/>
    <col min="4867" max="4867" width="11.42578125" style="1" customWidth="1"/>
    <col min="4868" max="5114" width="0" style="1" hidden="1"/>
    <col min="5115" max="5115" width="6.28515625" style="1" customWidth="1"/>
    <col min="5116" max="5116" width="37.140625" style="1" customWidth="1"/>
    <col min="5117" max="5117" width="8.140625" style="1" bestFit="1" customWidth="1"/>
    <col min="5118" max="5118" width="11.42578125" style="1" customWidth="1"/>
    <col min="5119" max="5119" width="11.7109375" style="1" bestFit="1" customWidth="1"/>
    <col min="5120" max="5120" width="14.85546875" style="1" bestFit="1" customWidth="1"/>
    <col min="5121" max="5121" width="13.28515625" style="1" bestFit="1" customWidth="1"/>
    <col min="5122" max="5122" width="5.85546875" style="1" customWidth="1"/>
    <col min="5123" max="5123" width="11.42578125" style="1" customWidth="1"/>
    <col min="5124" max="5370" width="0" style="1" hidden="1"/>
    <col min="5371" max="5371" width="6.28515625" style="1" customWidth="1"/>
    <col min="5372" max="5372" width="37.140625" style="1" customWidth="1"/>
    <col min="5373" max="5373" width="8.140625" style="1" bestFit="1" customWidth="1"/>
    <col min="5374" max="5374" width="11.42578125" style="1" customWidth="1"/>
    <col min="5375" max="5375" width="11.7109375" style="1" bestFit="1" customWidth="1"/>
    <col min="5376" max="5376" width="14.85546875" style="1" bestFit="1" customWidth="1"/>
    <col min="5377" max="5377" width="13.28515625" style="1" bestFit="1" customWidth="1"/>
    <col min="5378" max="5378" width="5.85546875" style="1" customWidth="1"/>
    <col min="5379" max="5379" width="11.42578125" style="1" customWidth="1"/>
    <col min="5380" max="5626" width="0" style="1" hidden="1"/>
    <col min="5627" max="5627" width="6.28515625" style="1" customWidth="1"/>
    <col min="5628" max="5628" width="37.140625" style="1" customWidth="1"/>
    <col min="5629" max="5629" width="8.140625" style="1" bestFit="1" customWidth="1"/>
    <col min="5630" max="5630" width="11.42578125" style="1" customWidth="1"/>
    <col min="5631" max="5631" width="11.7109375" style="1" bestFit="1" customWidth="1"/>
    <col min="5632" max="5632" width="14.85546875" style="1" bestFit="1" customWidth="1"/>
    <col min="5633" max="5633" width="13.28515625" style="1" bestFit="1" customWidth="1"/>
    <col min="5634" max="5634" width="5.85546875" style="1" customWidth="1"/>
    <col min="5635" max="5635" width="11.42578125" style="1" customWidth="1"/>
    <col min="5636" max="5882" width="0" style="1" hidden="1"/>
    <col min="5883" max="5883" width="6.28515625" style="1" customWidth="1"/>
    <col min="5884" max="5884" width="37.140625" style="1" customWidth="1"/>
    <col min="5885" max="5885" width="8.140625" style="1" bestFit="1" customWidth="1"/>
    <col min="5886" max="5886" width="11.42578125" style="1" customWidth="1"/>
    <col min="5887" max="5887" width="11.7109375" style="1" bestFit="1" customWidth="1"/>
    <col min="5888" max="5888" width="14.85546875" style="1" bestFit="1" customWidth="1"/>
    <col min="5889" max="5889" width="13.28515625" style="1" bestFit="1" customWidth="1"/>
    <col min="5890" max="5890" width="5.85546875" style="1" customWidth="1"/>
    <col min="5891" max="5891" width="11.42578125" style="1" customWidth="1"/>
    <col min="5892" max="6138" width="0" style="1" hidden="1"/>
    <col min="6139" max="6139" width="6.28515625" style="1" customWidth="1"/>
    <col min="6140" max="6140" width="37.140625" style="1" customWidth="1"/>
    <col min="6141" max="6141" width="8.140625" style="1" bestFit="1" customWidth="1"/>
    <col min="6142" max="6142" width="11.42578125" style="1" customWidth="1"/>
    <col min="6143" max="6143" width="11.7109375" style="1" bestFit="1" customWidth="1"/>
    <col min="6144" max="6144" width="14.85546875" style="1" bestFit="1" customWidth="1"/>
    <col min="6145" max="6145" width="13.28515625" style="1" bestFit="1" customWidth="1"/>
    <col min="6146" max="6146" width="5.85546875" style="1" customWidth="1"/>
    <col min="6147" max="6147" width="11.42578125" style="1" customWidth="1"/>
    <col min="6148" max="6394" width="0" style="1" hidden="1"/>
    <col min="6395" max="6395" width="6.28515625" style="1" customWidth="1"/>
    <col min="6396" max="6396" width="37.140625" style="1" customWidth="1"/>
    <col min="6397" max="6397" width="8.140625" style="1" bestFit="1" customWidth="1"/>
    <col min="6398" max="6398" width="11.42578125" style="1" customWidth="1"/>
    <col min="6399" max="6399" width="11.7109375" style="1" bestFit="1" customWidth="1"/>
    <col min="6400" max="6400" width="14.85546875" style="1" bestFit="1" customWidth="1"/>
    <col min="6401" max="6401" width="13.28515625" style="1" bestFit="1" customWidth="1"/>
    <col min="6402" max="6402" width="5.85546875" style="1" customWidth="1"/>
    <col min="6403" max="6403" width="11.42578125" style="1" customWidth="1"/>
    <col min="6404" max="6650" width="0" style="1" hidden="1"/>
    <col min="6651" max="6651" width="6.28515625" style="1" customWidth="1"/>
    <col min="6652" max="6652" width="37.140625" style="1" customWidth="1"/>
    <col min="6653" max="6653" width="8.140625" style="1" bestFit="1" customWidth="1"/>
    <col min="6654" max="6654" width="11.42578125" style="1" customWidth="1"/>
    <col min="6655" max="6655" width="11.7109375" style="1" bestFit="1" customWidth="1"/>
    <col min="6656" max="6656" width="14.85546875" style="1" bestFit="1" customWidth="1"/>
    <col min="6657" max="6657" width="13.28515625" style="1" bestFit="1" customWidth="1"/>
    <col min="6658" max="6658" width="5.85546875" style="1" customWidth="1"/>
    <col min="6659" max="6659" width="11.42578125" style="1" customWidth="1"/>
    <col min="6660" max="6906" width="0" style="1" hidden="1"/>
    <col min="6907" max="6907" width="6.28515625" style="1" customWidth="1"/>
    <col min="6908" max="6908" width="37.140625" style="1" customWidth="1"/>
    <col min="6909" max="6909" width="8.140625" style="1" bestFit="1" customWidth="1"/>
    <col min="6910" max="6910" width="11.42578125" style="1" customWidth="1"/>
    <col min="6911" max="6911" width="11.7109375" style="1" bestFit="1" customWidth="1"/>
    <col min="6912" max="6912" width="14.85546875" style="1" bestFit="1" customWidth="1"/>
    <col min="6913" max="6913" width="13.28515625" style="1" bestFit="1" customWidth="1"/>
    <col min="6914" max="6914" width="5.85546875" style="1" customWidth="1"/>
    <col min="6915" max="6915" width="11.42578125" style="1" customWidth="1"/>
    <col min="6916" max="7162" width="0" style="1" hidden="1"/>
    <col min="7163" max="7163" width="6.28515625" style="1" customWidth="1"/>
    <col min="7164" max="7164" width="37.140625" style="1" customWidth="1"/>
    <col min="7165" max="7165" width="8.140625" style="1" bestFit="1" customWidth="1"/>
    <col min="7166" max="7166" width="11.42578125" style="1" customWidth="1"/>
    <col min="7167" max="7167" width="11.7109375" style="1" bestFit="1" customWidth="1"/>
    <col min="7168" max="7168" width="14.85546875" style="1" bestFit="1" customWidth="1"/>
    <col min="7169" max="7169" width="13.28515625" style="1" bestFit="1" customWidth="1"/>
    <col min="7170" max="7170" width="5.85546875" style="1" customWidth="1"/>
    <col min="7171" max="7171" width="11.42578125" style="1" customWidth="1"/>
    <col min="7172" max="7418" width="0" style="1" hidden="1"/>
    <col min="7419" max="7419" width="6.28515625" style="1" customWidth="1"/>
    <col min="7420" max="7420" width="37.140625" style="1" customWidth="1"/>
    <col min="7421" max="7421" width="8.140625" style="1" bestFit="1" customWidth="1"/>
    <col min="7422" max="7422" width="11.42578125" style="1" customWidth="1"/>
    <col min="7423" max="7423" width="11.7109375" style="1" bestFit="1" customWidth="1"/>
    <col min="7424" max="7424" width="14.85546875" style="1" bestFit="1" customWidth="1"/>
    <col min="7425" max="7425" width="13.28515625" style="1" bestFit="1" customWidth="1"/>
    <col min="7426" max="7426" width="5.85546875" style="1" customWidth="1"/>
    <col min="7427" max="7427" width="11.42578125" style="1" customWidth="1"/>
    <col min="7428" max="7674" width="0" style="1" hidden="1"/>
    <col min="7675" max="7675" width="6.28515625" style="1" customWidth="1"/>
    <col min="7676" max="7676" width="37.140625" style="1" customWidth="1"/>
    <col min="7677" max="7677" width="8.140625" style="1" bestFit="1" customWidth="1"/>
    <col min="7678" max="7678" width="11.42578125" style="1" customWidth="1"/>
    <col min="7679" max="7679" width="11.7109375" style="1" bestFit="1" customWidth="1"/>
    <col min="7680" max="7680" width="14.85546875" style="1" bestFit="1" customWidth="1"/>
    <col min="7681" max="7681" width="13.28515625" style="1" bestFit="1" customWidth="1"/>
    <col min="7682" max="7682" width="5.85546875" style="1" customWidth="1"/>
    <col min="7683" max="7683" width="11.42578125" style="1" customWidth="1"/>
    <col min="7684" max="7930" width="0" style="1" hidden="1"/>
    <col min="7931" max="7931" width="6.28515625" style="1" customWidth="1"/>
    <col min="7932" max="7932" width="37.140625" style="1" customWidth="1"/>
    <col min="7933" max="7933" width="8.140625" style="1" bestFit="1" customWidth="1"/>
    <col min="7934" max="7934" width="11.42578125" style="1" customWidth="1"/>
    <col min="7935" max="7935" width="11.7109375" style="1" bestFit="1" customWidth="1"/>
    <col min="7936" max="7936" width="14.85546875" style="1" bestFit="1" customWidth="1"/>
    <col min="7937" max="7937" width="13.28515625" style="1" bestFit="1" customWidth="1"/>
    <col min="7938" max="7938" width="5.85546875" style="1" customWidth="1"/>
    <col min="7939" max="7939" width="11.42578125" style="1" customWidth="1"/>
    <col min="7940" max="8186" width="0" style="1" hidden="1"/>
    <col min="8187" max="8187" width="6.28515625" style="1" customWidth="1"/>
    <col min="8188" max="8188" width="37.140625" style="1" customWidth="1"/>
    <col min="8189" max="8189" width="8.140625" style="1" bestFit="1" customWidth="1"/>
    <col min="8190" max="8190" width="11.42578125" style="1" customWidth="1"/>
    <col min="8191" max="8191" width="11.7109375" style="1" bestFit="1" customWidth="1"/>
    <col min="8192" max="8192" width="14.85546875" style="1" bestFit="1" customWidth="1"/>
    <col min="8193" max="8193" width="13.28515625" style="1" bestFit="1" customWidth="1"/>
    <col min="8194" max="8194" width="5.85546875" style="1" customWidth="1"/>
    <col min="8195" max="8195" width="11.42578125" style="1" customWidth="1"/>
    <col min="8196" max="8442" width="0" style="1" hidden="1"/>
    <col min="8443" max="8443" width="6.28515625" style="1" customWidth="1"/>
    <col min="8444" max="8444" width="37.140625" style="1" customWidth="1"/>
    <col min="8445" max="8445" width="8.140625" style="1" bestFit="1" customWidth="1"/>
    <col min="8446" max="8446" width="11.42578125" style="1" customWidth="1"/>
    <col min="8447" max="8447" width="11.7109375" style="1" bestFit="1" customWidth="1"/>
    <col min="8448" max="8448" width="14.85546875" style="1" bestFit="1" customWidth="1"/>
    <col min="8449" max="8449" width="13.28515625" style="1" bestFit="1" customWidth="1"/>
    <col min="8450" max="8450" width="5.85546875" style="1" customWidth="1"/>
    <col min="8451" max="8451" width="11.42578125" style="1" customWidth="1"/>
    <col min="8452" max="8698" width="0" style="1" hidden="1"/>
    <col min="8699" max="8699" width="6.28515625" style="1" customWidth="1"/>
    <col min="8700" max="8700" width="37.140625" style="1" customWidth="1"/>
    <col min="8701" max="8701" width="8.140625" style="1" bestFit="1" customWidth="1"/>
    <col min="8702" max="8702" width="11.42578125" style="1" customWidth="1"/>
    <col min="8703" max="8703" width="11.7109375" style="1" bestFit="1" customWidth="1"/>
    <col min="8704" max="8704" width="14.85546875" style="1" bestFit="1" customWidth="1"/>
    <col min="8705" max="8705" width="13.28515625" style="1" bestFit="1" customWidth="1"/>
    <col min="8706" max="8706" width="5.85546875" style="1" customWidth="1"/>
    <col min="8707" max="8707" width="11.42578125" style="1" customWidth="1"/>
    <col min="8708" max="8954" width="0" style="1" hidden="1"/>
    <col min="8955" max="8955" width="6.28515625" style="1" customWidth="1"/>
    <col min="8956" max="8956" width="37.140625" style="1" customWidth="1"/>
    <col min="8957" max="8957" width="8.140625" style="1" bestFit="1" customWidth="1"/>
    <col min="8958" max="8958" width="11.42578125" style="1" customWidth="1"/>
    <col min="8959" max="8959" width="11.7109375" style="1" bestFit="1" customWidth="1"/>
    <col min="8960" max="8960" width="14.85546875" style="1" bestFit="1" customWidth="1"/>
    <col min="8961" max="8961" width="13.28515625" style="1" bestFit="1" customWidth="1"/>
    <col min="8962" max="8962" width="5.85546875" style="1" customWidth="1"/>
    <col min="8963" max="8963" width="11.42578125" style="1" customWidth="1"/>
    <col min="8964" max="9210" width="0" style="1" hidden="1"/>
    <col min="9211" max="9211" width="6.28515625" style="1" customWidth="1"/>
    <col min="9212" max="9212" width="37.140625" style="1" customWidth="1"/>
    <col min="9213" max="9213" width="8.140625" style="1" bestFit="1" customWidth="1"/>
    <col min="9214" max="9214" width="11.42578125" style="1" customWidth="1"/>
    <col min="9215" max="9215" width="11.7109375" style="1" bestFit="1" customWidth="1"/>
    <col min="9216" max="9216" width="14.85546875" style="1" bestFit="1" customWidth="1"/>
    <col min="9217" max="9217" width="13.28515625" style="1" bestFit="1" customWidth="1"/>
    <col min="9218" max="9218" width="5.85546875" style="1" customWidth="1"/>
    <col min="9219" max="9219" width="11.42578125" style="1" customWidth="1"/>
    <col min="9220" max="9466" width="0" style="1" hidden="1"/>
    <col min="9467" max="9467" width="6.28515625" style="1" customWidth="1"/>
    <col min="9468" max="9468" width="37.140625" style="1" customWidth="1"/>
    <col min="9469" max="9469" width="8.140625" style="1" bestFit="1" customWidth="1"/>
    <col min="9470" max="9470" width="11.42578125" style="1" customWidth="1"/>
    <col min="9471" max="9471" width="11.7109375" style="1" bestFit="1" customWidth="1"/>
    <col min="9472" max="9472" width="14.85546875" style="1" bestFit="1" customWidth="1"/>
    <col min="9473" max="9473" width="13.28515625" style="1" bestFit="1" customWidth="1"/>
    <col min="9474" max="9474" width="5.85546875" style="1" customWidth="1"/>
    <col min="9475" max="9475" width="11.42578125" style="1" customWidth="1"/>
    <col min="9476" max="9722" width="0" style="1" hidden="1"/>
    <col min="9723" max="9723" width="6.28515625" style="1" customWidth="1"/>
    <col min="9724" max="9724" width="37.140625" style="1" customWidth="1"/>
    <col min="9725" max="9725" width="8.140625" style="1" bestFit="1" customWidth="1"/>
    <col min="9726" max="9726" width="11.42578125" style="1" customWidth="1"/>
    <col min="9727" max="9727" width="11.7109375" style="1" bestFit="1" customWidth="1"/>
    <col min="9728" max="9728" width="14.85546875" style="1" bestFit="1" customWidth="1"/>
    <col min="9729" max="9729" width="13.28515625" style="1" bestFit="1" customWidth="1"/>
    <col min="9730" max="9730" width="5.85546875" style="1" customWidth="1"/>
    <col min="9731" max="9731" width="11.42578125" style="1" customWidth="1"/>
    <col min="9732" max="9978" width="0" style="1" hidden="1"/>
    <col min="9979" max="9979" width="6.28515625" style="1" customWidth="1"/>
    <col min="9980" max="9980" width="37.140625" style="1" customWidth="1"/>
    <col min="9981" max="9981" width="8.140625" style="1" bestFit="1" customWidth="1"/>
    <col min="9982" max="9982" width="11.42578125" style="1" customWidth="1"/>
    <col min="9983" max="9983" width="11.7109375" style="1" bestFit="1" customWidth="1"/>
    <col min="9984" max="9984" width="14.85546875" style="1" bestFit="1" customWidth="1"/>
    <col min="9985" max="9985" width="13.28515625" style="1" bestFit="1" customWidth="1"/>
    <col min="9986" max="9986" width="5.85546875" style="1" customWidth="1"/>
    <col min="9987" max="9987" width="11.42578125" style="1" customWidth="1"/>
    <col min="9988" max="10234" width="0" style="1" hidden="1"/>
    <col min="10235" max="10235" width="6.28515625" style="1" customWidth="1"/>
    <col min="10236" max="10236" width="37.140625" style="1" customWidth="1"/>
    <col min="10237" max="10237" width="8.140625" style="1" bestFit="1" customWidth="1"/>
    <col min="10238" max="10238" width="11.42578125" style="1" customWidth="1"/>
    <col min="10239" max="10239" width="11.7109375" style="1" bestFit="1" customWidth="1"/>
    <col min="10240" max="10240" width="14.85546875" style="1" bestFit="1" customWidth="1"/>
    <col min="10241" max="10241" width="13.28515625" style="1" bestFit="1" customWidth="1"/>
    <col min="10242" max="10242" width="5.85546875" style="1" customWidth="1"/>
    <col min="10243" max="10243" width="11.42578125" style="1" customWidth="1"/>
    <col min="10244" max="10490" width="0" style="1" hidden="1"/>
    <col min="10491" max="10491" width="6.28515625" style="1" customWidth="1"/>
    <col min="10492" max="10492" width="37.140625" style="1" customWidth="1"/>
    <col min="10493" max="10493" width="8.140625" style="1" bestFit="1" customWidth="1"/>
    <col min="10494" max="10494" width="11.42578125" style="1" customWidth="1"/>
    <col min="10495" max="10495" width="11.7109375" style="1" bestFit="1" customWidth="1"/>
    <col min="10496" max="10496" width="14.85546875" style="1" bestFit="1" customWidth="1"/>
    <col min="10497" max="10497" width="13.28515625" style="1" bestFit="1" customWidth="1"/>
    <col min="10498" max="10498" width="5.85546875" style="1" customWidth="1"/>
    <col min="10499" max="10499" width="11.42578125" style="1" customWidth="1"/>
    <col min="10500" max="10746" width="0" style="1" hidden="1"/>
    <col min="10747" max="10747" width="6.28515625" style="1" customWidth="1"/>
    <col min="10748" max="10748" width="37.140625" style="1" customWidth="1"/>
    <col min="10749" max="10749" width="8.140625" style="1" bestFit="1" customWidth="1"/>
    <col min="10750" max="10750" width="11.42578125" style="1" customWidth="1"/>
    <col min="10751" max="10751" width="11.7109375" style="1" bestFit="1" customWidth="1"/>
    <col min="10752" max="10752" width="14.85546875" style="1" bestFit="1" customWidth="1"/>
    <col min="10753" max="10753" width="13.28515625" style="1" bestFit="1" customWidth="1"/>
    <col min="10754" max="10754" width="5.85546875" style="1" customWidth="1"/>
    <col min="10755" max="10755" width="11.42578125" style="1" customWidth="1"/>
    <col min="10756" max="11002" width="0" style="1" hidden="1"/>
    <col min="11003" max="11003" width="6.28515625" style="1" customWidth="1"/>
    <col min="11004" max="11004" width="37.140625" style="1" customWidth="1"/>
    <col min="11005" max="11005" width="8.140625" style="1" bestFit="1" customWidth="1"/>
    <col min="11006" max="11006" width="11.42578125" style="1" customWidth="1"/>
    <col min="11007" max="11007" width="11.7109375" style="1" bestFit="1" customWidth="1"/>
    <col min="11008" max="11008" width="14.85546875" style="1" bestFit="1" customWidth="1"/>
    <col min="11009" max="11009" width="13.28515625" style="1" bestFit="1" customWidth="1"/>
    <col min="11010" max="11010" width="5.85546875" style="1" customWidth="1"/>
    <col min="11011" max="11011" width="11.42578125" style="1" customWidth="1"/>
    <col min="11012" max="11258" width="0" style="1" hidden="1"/>
    <col min="11259" max="11259" width="6.28515625" style="1" customWidth="1"/>
    <col min="11260" max="11260" width="37.140625" style="1" customWidth="1"/>
    <col min="11261" max="11261" width="8.140625" style="1" bestFit="1" customWidth="1"/>
    <col min="11262" max="11262" width="11.42578125" style="1" customWidth="1"/>
    <col min="11263" max="11263" width="11.7109375" style="1" bestFit="1" customWidth="1"/>
    <col min="11264" max="11264" width="14.85546875" style="1" bestFit="1" customWidth="1"/>
    <col min="11265" max="11265" width="13.28515625" style="1" bestFit="1" customWidth="1"/>
    <col min="11266" max="11266" width="5.85546875" style="1" customWidth="1"/>
    <col min="11267" max="11267" width="11.42578125" style="1" customWidth="1"/>
    <col min="11268" max="11514" width="0" style="1" hidden="1"/>
    <col min="11515" max="11515" width="6.28515625" style="1" customWidth="1"/>
    <col min="11516" max="11516" width="37.140625" style="1" customWidth="1"/>
    <col min="11517" max="11517" width="8.140625" style="1" bestFit="1" customWidth="1"/>
    <col min="11518" max="11518" width="11.42578125" style="1" customWidth="1"/>
    <col min="11519" max="11519" width="11.7109375" style="1" bestFit="1" customWidth="1"/>
    <col min="11520" max="11520" width="14.85546875" style="1" bestFit="1" customWidth="1"/>
    <col min="11521" max="11521" width="13.28515625" style="1" bestFit="1" customWidth="1"/>
    <col min="11522" max="11522" width="5.85546875" style="1" customWidth="1"/>
    <col min="11523" max="11523" width="11.42578125" style="1" customWidth="1"/>
    <col min="11524" max="11770" width="0" style="1" hidden="1"/>
    <col min="11771" max="11771" width="6.28515625" style="1" customWidth="1"/>
    <col min="11772" max="11772" width="37.140625" style="1" customWidth="1"/>
    <col min="11773" max="11773" width="8.140625" style="1" bestFit="1" customWidth="1"/>
    <col min="11774" max="11774" width="11.42578125" style="1" customWidth="1"/>
    <col min="11775" max="11775" width="11.7109375" style="1" bestFit="1" customWidth="1"/>
    <col min="11776" max="11776" width="14.85546875" style="1" bestFit="1" customWidth="1"/>
    <col min="11777" max="11777" width="13.28515625" style="1" bestFit="1" customWidth="1"/>
    <col min="11778" max="11778" width="5.85546875" style="1" customWidth="1"/>
    <col min="11779" max="11779" width="11.42578125" style="1" customWidth="1"/>
    <col min="11780" max="12026" width="0" style="1" hidden="1"/>
    <col min="12027" max="12027" width="6.28515625" style="1" customWidth="1"/>
    <col min="12028" max="12028" width="37.140625" style="1" customWidth="1"/>
    <col min="12029" max="12029" width="8.140625" style="1" bestFit="1" customWidth="1"/>
    <col min="12030" max="12030" width="11.42578125" style="1" customWidth="1"/>
    <col min="12031" max="12031" width="11.7109375" style="1" bestFit="1" customWidth="1"/>
    <col min="12032" max="12032" width="14.85546875" style="1" bestFit="1" customWidth="1"/>
    <col min="12033" max="12033" width="13.28515625" style="1" bestFit="1" customWidth="1"/>
    <col min="12034" max="12034" width="5.85546875" style="1" customWidth="1"/>
    <col min="12035" max="12035" width="11.42578125" style="1" customWidth="1"/>
    <col min="12036" max="12282" width="0" style="1" hidden="1"/>
    <col min="12283" max="12283" width="6.28515625" style="1" customWidth="1"/>
    <col min="12284" max="12284" width="37.140625" style="1" customWidth="1"/>
    <col min="12285" max="12285" width="8.140625" style="1" bestFit="1" customWidth="1"/>
    <col min="12286" max="12286" width="11.42578125" style="1" customWidth="1"/>
    <col min="12287" max="12287" width="11.7109375" style="1" bestFit="1" customWidth="1"/>
    <col min="12288" max="12288" width="14.85546875" style="1" bestFit="1" customWidth="1"/>
    <col min="12289" max="12289" width="13.28515625" style="1" bestFit="1" customWidth="1"/>
    <col min="12290" max="12290" width="5.85546875" style="1" customWidth="1"/>
    <col min="12291" max="12291" width="11.42578125" style="1" customWidth="1"/>
    <col min="12292" max="12538" width="0" style="1" hidden="1"/>
    <col min="12539" max="12539" width="6.28515625" style="1" customWidth="1"/>
    <col min="12540" max="12540" width="37.140625" style="1" customWidth="1"/>
    <col min="12541" max="12541" width="8.140625" style="1" bestFit="1" customWidth="1"/>
    <col min="12542" max="12542" width="11.42578125" style="1" customWidth="1"/>
    <col min="12543" max="12543" width="11.7109375" style="1" bestFit="1" customWidth="1"/>
    <col min="12544" max="12544" width="14.85546875" style="1" bestFit="1" customWidth="1"/>
    <col min="12545" max="12545" width="13.28515625" style="1" bestFit="1" customWidth="1"/>
    <col min="12546" max="12546" width="5.85546875" style="1" customWidth="1"/>
    <col min="12547" max="12547" width="11.42578125" style="1" customWidth="1"/>
    <col min="12548" max="12794" width="0" style="1" hidden="1"/>
    <col min="12795" max="12795" width="6.28515625" style="1" customWidth="1"/>
    <col min="12796" max="12796" width="37.140625" style="1" customWidth="1"/>
    <col min="12797" max="12797" width="8.140625" style="1" bestFit="1" customWidth="1"/>
    <col min="12798" max="12798" width="11.42578125" style="1" customWidth="1"/>
    <col min="12799" max="12799" width="11.7109375" style="1" bestFit="1" customWidth="1"/>
    <col min="12800" max="12800" width="14.85546875" style="1" bestFit="1" customWidth="1"/>
    <col min="12801" max="12801" width="13.28515625" style="1" bestFit="1" customWidth="1"/>
    <col min="12802" max="12802" width="5.85546875" style="1" customWidth="1"/>
    <col min="12803" max="12803" width="11.42578125" style="1" customWidth="1"/>
    <col min="12804" max="13050" width="0" style="1" hidden="1"/>
    <col min="13051" max="13051" width="6.28515625" style="1" customWidth="1"/>
    <col min="13052" max="13052" width="37.140625" style="1" customWidth="1"/>
    <col min="13053" max="13053" width="8.140625" style="1" bestFit="1" customWidth="1"/>
    <col min="13054" max="13054" width="11.42578125" style="1" customWidth="1"/>
    <col min="13055" max="13055" width="11.7109375" style="1" bestFit="1" customWidth="1"/>
    <col min="13056" max="13056" width="14.85546875" style="1" bestFit="1" customWidth="1"/>
    <col min="13057" max="13057" width="13.28515625" style="1" bestFit="1" customWidth="1"/>
    <col min="13058" max="13058" width="5.85546875" style="1" customWidth="1"/>
    <col min="13059" max="13059" width="11.42578125" style="1" customWidth="1"/>
    <col min="13060" max="13306" width="0" style="1" hidden="1"/>
    <col min="13307" max="13307" width="6.28515625" style="1" customWidth="1"/>
    <col min="13308" max="13308" width="37.140625" style="1" customWidth="1"/>
    <col min="13309" max="13309" width="8.140625" style="1" bestFit="1" customWidth="1"/>
    <col min="13310" max="13310" width="11.42578125" style="1" customWidth="1"/>
    <col min="13311" max="13311" width="11.7109375" style="1" bestFit="1" customWidth="1"/>
    <col min="13312" max="13312" width="14.85546875" style="1" bestFit="1" customWidth="1"/>
    <col min="13313" max="13313" width="13.28515625" style="1" bestFit="1" customWidth="1"/>
    <col min="13314" max="13314" width="5.85546875" style="1" customWidth="1"/>
    <col min="13315" max="13315" width="11.42578125" style="1" customWidth="1"/>
    <col min="13316" max="13562" width="0" style="1" hidden="1"/>
    <col min="13563" max="13563" width="6.28515625" style="1" customWidth="1"/>
    <col min="13564" max="13564" width="37.140625" style="1" customWidth="1"/>
    <col min="13565" max="13565" width="8.140625" style="1" bestFit="1" customWidth="1"/>
    <col min="13566" max="13566" width="11.42578125" style="1" customWidth="1"/>
    <col min="13567" max="13567" width="11.7109375" style="1" bestFit="1" customWidth="1"/>
    <col min="13568" max="13568" width="14.85546875" style="1" bestFit="1" customWidth="1"/>
    <col min="13569" max="13569" width="13.28515625" style="1" bestFit="1" customWidth="1"/>
    <col min="13570" max="13570" width="5.85546875" style="1" customWidth="1"/>
    <col min="13571" max="13571" width="11.42578125" style="1" customWidth="1"/>
    <col min="13572" max="13818" width="0" style="1" hidden="1"/>
    <col min="13819" max="13819" width="6.28515625" style="1" customWidth="1"/>
    <col min="13820" max="13820" width="37.140625" style="1" customWidth="1"/>
    <col min="13821" max="13821" width="8.140625" style="1" bestFit="1" customWidth="1"/>
    <col min="13822" max="13822" width="11.42578125" style="1" customWidth="1"/>
    <col min="13823" max="13823" width="11.7109375" style="1" bestFit="1" customWidth="1"/>
    <col min="13824" max="13824" width="14.85546875" style="1" bestFit="1" customWidth="1"/>
    <col min="13825" max="13825" width="13.28515625" style="1" bestFit="1" customWidth="1"/>
    <col min="13826" max="13826" width="5.85546875" style="1" customWidth="1"/>
    <col min="13827" max="13827" width="11.42578125" style="1" customWidth="1"/>
    <col min="13828" max="14074" width="0" style="1" hidden="1"/>
    <col min="14075" max="14075" width="6.28515625" style="1" customWidth="1"/>
    <col min="14076" max="14076" width="37.140625" style="1" customWidth="1"/>
    <col min="14077" max="14077" width="8.140625" style="1" bestFit="1" customWidth="1"/>
    <col min="14078" max="14078" width="11.42578125" style="1" customWidth="1"/>
    <col min="14079" max="14079" width="11.7109375" style="1" bestFit="1" customWidth="1"/>
    <col min="14080" max="14080" width="14.85546875" style="1" bestFit="1" customWidth="1"/>
    <col min="14081" max="14081" width="13.28515625" style="1" bestFit="1" customWidth="1"/>
    <col min="14082" max="14082" width="5.85546875" style="1" customWidth="1"/>
    <col min="14083" max="14083" width="11.42578125" style="1" customWidth="1"/>
    <col min="14084" max="14330" width="0" style="1" hidden="1"/>
    <col min="14331" max="14331" width="6.28515625" style="1" customWidth="1"/>
    <col min="14332" max="14332" width="37.140625" style="1" customWidth="1"/>
    <col min="14333" max="14333" width="8.140625" style="1" bestFit="1" customWidth="1"/>
    <col min="14334" max="14334" width="11.42578125" style="1" customWidth="1"/>
    <col min="14335" max="14335" width="11.7109375" style="1" bestFit="1" customWidth="1"/>
    <col min="14336" max="14336" width="14.85546875" style="1" bestFit="1" customWidth="1"/>
    <col min="14337" max="14337" width="13.28515625" style="1" bestFit="1" customWidth="1"/>
    <col min="14338" max="14338" width="5.85546875" style="1" customWidth="1"/>
    <col min="14339" max="14339" width="11.42578125" style="1" customWidth="1"/>
    <col min="14340" max="14586" width="0" style="1" hidden="1"/>
    <col min="14587" max="14587" width="6.28515625" style="1" customWidth="1"/>
    <col min="14588" max="14588" width="37.140625" style="1" customWidth="1"/>
    <col min="14589" max="14589" width="8.140625" style="1" bestFit="1" customWidth="1"/>
    <col min="14590" max="14590" width="11.42578125" style="1" customWidth="1"/>
    <col min="14591" max="14591" width="11.7109375" style="1" bestFit="1" customWidth="1"/>
    <col min="14592" max="14592" width="14.85546875" style="1" bestFit="1" customWidth="1"/>
    <col min="14593" max="14593" width="13.28515625" style="1" bestFit="1" customWidth="1"/>
    <col min="14594" max="14594" width="5.85546875" style="1" customWidth="1"/>
    <col min="14595" max="14595" width="11.42578125" style="1" customWidth="1"/>
    <col min="14596" max="14842" width="0" style="1" hidden="1"/>
    <col min="14843" max="14843" width="6.28515625" style="1" customWidth="1"/>
    <col min="14844" max="14844" width="37.140625" style="1" customWidth="1"/>
    <col min="14845" max="14845" width="8.140625" style="1" bestFit="1" customWidth="1"/>
    <col min="14846" max="14846" width="11.42578125" style="1" customWidth="1"/>
    <col min="14847" max="14847" width="11.7109375" style="1" bestFit="1" customWidth="1"/>
    <col min="14848" max="14848" width="14.85546875" style="1" bestFit="1" customWidth="1"/>
    <col min="14849" max="14849" width="13.28515625" style="1" bestFit="1" customWidth="1"/>
    <col min="14850" max="14850" width="5.85546875" style="1" customWidth="1"/>
    <col min="14851" max="14851" width="11.42578125" style="1" customWidth="1"/>
    <col min="14852" max="15098" width="0" style="1" hidden="1"/>
    <col min="15099" max="15099" width="6.28515625" style="1" customWidth="1"/>
    <col min="15100" max="15100" width="37.140625" style="1" customWidth="1"/>
    <col min="15101" max="15101" width="8.140625" style="1" bestFit="1" customWidth="1"/>
    <col min="15102" max="15102" width="11.42578125" style="1" customWidth="1"/>
    <col min="15103" max="15103" width="11.7109375" style="1" bestFit="1" customWidth="1"/>
    <col min="15104" max="15104" width="14.85546875" style="1" bestFit="1" customWidth="1"/>
    <col min="15105" max="15105" width="13.28515625" style="1" bestFit="1" customWidth="1"/>
    <col min="15106" max="15106" width="5.85546875" style="1" customWidth="1"/>
    <col min="15107" max="15107" width="11.42578125" style="1" customWidth="1"/>
    <col min="15108" max="15354" width="0" style="1" hidden="1"/>
    <col min="15355" max="15355" width="6.28515625" style="1" customWidth="1"/>
    <col min="15356" max="15356" width="37.140625" style="1" customWidth="1"/>
    <col min="15357" max="15357" width="8.140625" style="1" bestFit="1" customWidth="1"/>
    <col min="15358" max="15358" width="11.42578125" style="1" customWidth="1"/>
    <col min="15359" max="15359" width="11.7109375" style="1" bestFit="1" customWidth="1"/>
    <col min="15360" max="15360" width="14.85546875" style="1" bestFit="1" customWidth="1"/>
    <col min="15361" max="15361" width="13.28515625" style="1" bestFit="1" customWidth="1"/>
    <col min="15362" max="15362" width="5.85546875" style="1" customWidth="1"/>
    <col min="15363" max="15363" width="11.42578125" style="1" customWidth="1"/>
    <col min="15364" max="15610" width="0" style="1" hidden="1"/>
    <col min="15611" max="15611" width="6.28515625" style="1" customWidth="1"/>
    <col min="15612" max="15612" width="37.140625" style="1" customWidth="1"/>
    <col min="15613" max="15613" width="8.140625" style="1" bestFit="1" customWidth="1"/>
    <col min="15614" max="15614" width="11.42578125" style="1" customWidth="1"/>
    <col min="15615" max="15615" width="11.7109375" style="1" bestFit="1" customWidth="1"/>
    <col min="15616" max="15616" width="14.85546875" style="1" bestFit="1" customWidth="1"/>
    <col min="15617" max="15617" width="13.28515625" style="1" bestFit="1" customWidth="1"/>
    <col min="15618" max="15618" width="5.85546875" style="1" customWidth="1"/>
    <col min="15619" max="15619" width="11.42578125" style="1" customWidth="1"/>
    <col min="15620" max="15866" width="0" style="1" hidden="1"/>
    <col min="15867" max="15867" width="6.28515625" style="1" customWidth="1"/>
    <col min="15868" max="15868" width="37.140625" style="1" customWidth="1"/>
    <col min="15869" max="15869" width="8.140625" style="1" bestFit="1" customWidth="1"/>
    <col min="15870" max="15870" width="11.42578125" style="1" customWidth="1"/>
    <col min="15871" max="15871" width="11.7109375" style="1" bestFit="1" customWidth="1"/>
    <col min="15872" max="15872" width="14.85546875" style="1" bestFit="1" customWidth="1"/>
    <col min="15873" max="15873" width="13.28515625" style="1" bestFit="1" customWidth="1"/>
    <col min="15874" max="15874" width="5.85546875" style="1" customWidth="1"/>
    <col min="15875" max="15875" width="11.42578125" style="1" customWidth="1"/>
    <col min="15876" max="16384" width="0" style="1" hidden="1"/>
  </cols>
  <sheetData>
    <row r="1" spans="1:9" ht="15.75" hidden="1" x14ac:dyDescent="0.25">
      <c r="B1" s="2"/>
      <c r="C1" s="3"/>
    </row>
    <row r="2" spans="1:9" ht="20.100000000000001" customHeight="1" x14ac:dyDescent="0.25">
      <c r="B2" s="191" t="s">
        <v>0</v>
      </c>
      <c r="C2" s="191"/>
      <c r="D2" s="191"/>
      <c r="E2" s="191"/>
      <c r="F2" s="191"/>
      <c r="G2" s="191"/>
      <c r="H2" s="191"/>
      <c r="I2" s="191"/>
    </row>
    <row r="3" spans="1:9" ht="20.100000000000001" customHeight="1" x14ac:dyDescent="0.25">
      <c r="A3" s="4"/>
      <c r="B3" s="191" t="s">
        <v>75</v>
      </c>
      <c r="C3" s="191"/>
      <c r="D3" s="191"/>
      <c r="E3" s="191"/>
      <c r="F3" s="191"/>
      <c r="G3" s="191"/>
      <c r="H3" s="191"/>
      <c r="I3" s="191"/>
    </row>
    <row r="4" spans="1:9" ht="15.75" hidden="1" x14ac:dyDescent="0.25">
      <c r="A4" s="4"/>
      <c r="B4" s="191"/>
      <c r="C4" s="191"/>
      <c r="D4" s="191"/>
      <c r="E4" s="191"/>
      <c r="F4" s="191"/>
      <c r="G4" s="191"/>
      <c r="H4" s="191"/>
      <c r="I4" s="191"/>
    </row>
    <row r="5" spans="1:9" ht="22.5" customHeight="1" x14ac:dyDescent="0.2">
      <c r="A5" s="4"/>
      <c r="B5" s="190" t="s">
        <v>1</v>
      </c>
      <c r="C5" s="190" t="s">
        <v>2</v>
      </c>
      <c r="D5" s="190" t="s">
        <v>3</v>
      </c>
      <c r="E5" s="190" t="s">
        <v>6</v>
      </c>
      <c r="F5" s="190" t="s">
        <v>7</v>
      </c>
      <c r="G5" s="190" t="s">
        <v>71</v>
      </c>
      <c r="H5" s="190" t="s">
        <v>73</v>
      </c>
      <c r="I5" s="190" t="s">
        <v>70</v>
      </c>
    </row>
    <row r="6" spans="1:9" ht="15" customHeight="1" x14ac:dyDescent="0.2">
      <c r="A6" s="4"/>
      <c r="B6" s="190"/>
      <c r="C6" s="190"/>
      <c r="D6" s="190" t="s">
        <v>10</v>
      </c>
      <c r="E6" s="190" t="s">
        <v>10</v>
      </c>
      <c r="F6" s="190" t="s">
        <v>10</v>
      </c>
      <c r="G6" s="190"/>
      <c r="H6" s="190"/>
      <c r="I6" s="190"/>
    </row>
    <row r="7" spans="1:9" ht="24.75" customHeight="1" x14ac:dyDescent="0.2">
      <c r="A7" s="4"/>
      <c r="B7" s="190"/>
      <c r="C7" s="190"/>
      <c r="D7" s="190" t="s">
        <v>11</v>
      </c>
      <c r="E7" s="190" t="s">
        <v>11</v>
      </c>
      <c r="F7" s="190" t="s">
        <v>11</v>
      </c>
      <c r="G7" s="190"/>
      <c r="H7" s="190"/>
      <c r="I7" s="190"/>
    </row>
    <row r="8" spans="1:9" ht="24.75" customHeight="1" x14ac:dyDescent="0.2">
      <c r="A8" s="4"/>
      <c r="B8" s="5" t="s">
        <v>12</v>
      </c>
      <c r="C8" s="6"/>
      <c r="D8" s="6"/>
      <c r="E8" s="6"/>
      <c r="F8" s="6"/>
      <c r="G8" s="15">
        <v>1.0511999999999999</v>
      </c>
      <c r="H8" s="15">
        <v>1.0726</v>
      </c>
      <c r="I8" s="14"/>
    </row>
    <row r="9" spans="1:9" s="11" customFormat="1" ht="20.100000000000001" customHeight="1" x14ac:dyDescent="0.25">
      <c r="A9" s="7"/>
      <c r="B9" s="8" t="s">
        <v>13</v>
      </c>
      <c r="C9" s="9" t="s">
        <v>14</v>
      </c>
      <c r="D9" s="10">
        <v>5482895</v>
      </c>
      <c r="E9" s="10">
        <v>9747368</v>
      </c>
      <c r="F9" s="10">
        <v>0</v>
      </c>
      <c r="G9" s="10">
        <v>28292355</v>
      </c>
      <c r="H9" s="10">
        <v>0</v>
      </c>
      <c r="I9" s="10">
        <f t="shared" ref="I9:I18" si="0">SUM(D9:H9)</f>
        <v>43522618</v>
      </c>
    </row>
    <row r="10" spans="1:9" s="11" customFormat="1" ht="20.100000000000001" customHeight="1" x14ac:dyDescent="0.25">
      <c r="A10" s="7"/>
      <c r="B10" s="8" t="s">
        <v>15</v>
      </c>
      <c r="C10" s="9" t="s">
        <v>16</v>
      </c>
      <c r="D10" s="10">
        <v>5482895</v>
      </c>
      <c r="E10" s="10">
        <v>9747368</v>
      </c>
      <c r="F10" s="10">
        <v>0</v>
      </c>
      <c r="G10" s="10">
        <v>28292355</v>
      </c>
      <c r="H10" s="10">
        <v>0</v>
      </c>
      <c r="I10" s="10">
        <f t="shared" si="0"/>
        <v>43522618</v>
      </c>
    </row>
    <row r="11" spans="1:9" s="11" customFormat="1" ht="20.100000000000001" customHeight="1" x14ac:dyDescent="0.25">
      <c r="A11" s="7"/>
      <c r="B11" s="8" t="s">
        <v>17</v>
      </c>
      <c r="C11" s="9" t="s">
        <v>18</v>
      </c>
      <c r="D11" s="10">
        <v>5482895</v>
      </c>
      <c r="E11" s="10">
        <v>9747368</v>
      </c>
      <c r="F11" s="10">
        <v>0</v>
      </c>
      <c r="G11" s="10">
        <v>28292355</v>
      </c>
      <c r="H11" s="10">
        <v>0</v>
      </c>
      <c r="I11" s="10">
        <f t="shared" si="0"/>
        <v>43522618</v>
      </c>
    </row>
    <row r="12" spans="1:9" s="11" customFormat="1" ht="20.100000000000001" customHeight="1" x14ac:dyDescent="0.25">
      <c r="A12" s="7"/>
      <c r="B12" s="8" t="s">
        <v>19</v>
      </c>
      <c r="C12" s="9" t="s">
        <v>20</v>
      </c>
      <c r="D12" s="10">
        <v>8764742</v>
      </c>
      <c r="E12" s="10">
        <v>8764732</v>
      </c>
      <c r="F12" s="10">
        <v>7695442</v>
      </c>
      <c r="G12" s="10">
        <v>0</v>
      </c>
      <c r="H12" s="10">
        <v>4697901</v>
      </c>
      <c r="I12" s="10">
        <f t="shared" si="0"/>
        <v>29922817</v>
      </c>
    </row>
    <row r="13" spans="1:9" s="11" customFormat="1" ht="20.100000000000001" customHeight="1" x14ac:dyDescent="0.25">
      <c r="A13" s="7"/>
      <c r="B13" s="8" t="s">
        <v>21</v>
      </c>
      <c r="C13" s="9" t="s">
        <v>22</v>
      </c>
      <c r="D13" s="10">
        <v>8764742</v>
      </c>
      <c r="E13" s="10">
        <v>8764732</v>
      </c>
      <c r="F13" s="10">
        <v>7695442</v>
      </c>
      <c r="G13" s="10">
        <v>0</v>
      </c>
      <c r="H13" s="10">
        <v>4697901</v>
      </c>
      <c r="I13" s="10">
        <f t="shared" si="0"/>
        <v>29922817</v>
      </c>
    </row>
    <row r="14" spans="1:9" s="11" customFormat="1" ht="20.100000000000001" customHeight="1" x14ac:dyDescent="0.25">
      <c r="A14" s="7"/>
      <c r="B14" s="8" t="s">
        <v>23</v>
      </c>
      <c r="C14" s="9" t="s">
        <v>24</v>
      </c>
      <c r="D14" s="10">
        <v>8764742</v>
      </c>
      <c r="E14" s="10">
        <v>8764732</v>
      </c>
      <c r="F14" s="10">
        <v>7695442</v>
      </c>
      <c r="G14" s="10">
        <v>0</v>
      </c>
      <c r="H14" s="10">
        <v>4697901</v>
      </c>
      <c r="I14" s="10">
        <f t="shared" si="0"/>
        <v>29922817</v>
      </c>
    </row>
    <row r="15" spans="1:9" s="11" customFormat="1" ht="20.100000000000001" customHeight="1" x14ac:dyDescent="0.25">
      <c r="A15" s="7"/>
      <c r="B15" s="8" t="s">
        <v>25</v>
      </c>
      <c r="C15" s="9" t="s">
        <v>26</v>
      </c>
      <c r="D15" s="10">
        <v>8764742</v>
      </c>
      <c r="E15" s="10">
        <v>8764732</v>
      </c>
      <c r="F15" s="10">
        <v>7695442</v>
      </c>
      <c r="G15" s="10">
        <v>0</v>
      </c>
      <c r="H15" s="10">
        <v>4697901</v>
      </c>
      <c r="I15" s="10">
        <f t="shared" si="0"/>
        <v>29922817</v>
      </c>
    </row>
    <row r="16" spans="1:9" s="11" customFormat="1" ht="20.100000000000001" customHeight="1" x14ac:dyDescent="0.25">
      <c r="A16" s="7"/>
      <c r="B16" s="8" t="s">
        <v>27</v>
      </c>
      <c r="C16" s="9" t="s">
        <v>28</v>
      </c>
      <c r="D16" s="10">
        <v>8559475</v>
      </c>
      <c r="E16" s="10">
        <v>6681759</v>
      </c>
      <c r="F16" s="10">
        <v>0</v>
      </c>
      <c r="G16" s="10">
        <v>0</v>
      </c>
      <c r="H16" s="10">
        <v>2089329</v>
      </c>
      <c r="I16" s="10">
        <f t="shared" si="0"/>
        <v>17330563</v>
      </c>
    </row>
    <row r="17" spans="1:9" s="11" customFormat="1" ht="20.100000000000001" customHeight="1" x14ac:dyDescent="0.25">
      <c r="A17" s="7"/>
      <c r="B17" s="8" t="s">
        <v>29</v>
      </c>
      <c r="C17" s="9" t="s">
        <v>30</v>
      </c>
      <c r="D17" s="10">
        <v>6682717</v>
      </c>
      <c r="E17" s="10">
        <v>6682713</v>
      </c>
      <c r="F17" s="10">
        <v>0</v>
      </c>
      <c r="G17" s="10">
        <v>0</v>
      </c>
      <c r="H17" s="10">
        <v>3668035</v>
      </c>
      <c r="I17" s="10">
        <f t="shared" si="0"/>
        <v>17033465</v>
      </c>
    </row>
    <row r="18" spans="1:9" s="11" customFormat="1" ht="20.100000000000001" customHeight="1" x14ac:dyDescent="0.25">
      <c r="A18" s="7"/>
      <c r="B18" s="8" t="s">
        <v>31</v>
      </c>
      <c r="C18" s="9" t="s">
        <v>32</v>
      </c>
      <c r="D18" s="10">
        <v>5804318</v>
      </c>
      <c r="E18" s="10">
        <v>5804313</v>
      </c>
      <c r="F18" s="10">
        <v>0</v>
      </c>
      <c r="G18" s="10">
        <v>0</v>
      </c>
      <c r="H18" s="10">
        <v>0</v>
      </c>
      <c r="I18" s="10">
        <f t="shared" si="0"/>
        <v>11608631</v>
      </c>
    </row>
    <row r="19" spans="1:9" ht="27.75" customHeight="1" x14ac:dyDescent="0.25">
      <c r="A19" s="12"/>
      <c r="B19" s="2" t="s">
        <v>74</v>
      </c>
    </row>
    <row r="20" spans="1:9" ht="12.75" hidden="1" x14ac:dyDescent="0.2"/>
    <row r="21" spans="1:9" ht="12.75" hidden="1" x14ac:dyDescent="0.2"/>
    <row r="22" spans="1:9" ht="12.75" customHeight="1" x14ac:dyDescent="0.2"/>
    <row r="23" spans="1:9" ht="12.75" customHeight="1" x14ac:dyDescent="0.2"/>
    <row r="24" spans="1:9" ht="12.75" customHeight="1" x14ac:dyDescent="0.2"/>
    <row r="25" spans="1:9" ht="12.75" customHeight="1" x14ac:dyDescent="0.2"/>
    <row r="26" spans="1:9" ht="12.75" customHeight="1" x14ac:dyDescent="0.2"/>
    <row r="27" spans="1:9" ht="12.75" customHeight="1" x14ac:dyDescent="0.2"/>
    <row r="28" spans="1:9" ht="12.75" customHeight="1" x14ac:dyDescent="0.2"/>
    <row r="29" spans="1:9" ht="12.75" customHeight="1" x14ac:dyDescent="0.2"/>
    <row r="30" spans="1:9" ht="12.75" customHeight="1" x14ac:dyDescent="0.2"/>
    <row r="31" spans="1:9" ht="12.75" customHeight="1" x14ac:dyDescent="0.2"/>
    <row r="32" spans="1:9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</sheetData>
  <sheetProtection formatCells="0" selectLockedCells="1"/>
  <mergeCells count="11">
    <mergeCell ref="I5:I7"/>
    <mergeCell ref="F5:F7"/>
    <mergeCell ref="G5:G7"/>
    <mergeCell ref="H5:H7"/>
    <mergeCell ref="B2:I2"/>
    <mergeCell ref="B3:I3"/>
    <mergeCell ref="B4:I4"/>
    <mergeCell ref="B5:B7"/>
    <mergeCell ref="C5:C7"/>
    <mergeCell ref="D5:D7"/>
    <mergeCell ref="E5:E7"/>
  </mergeCells>
  <printOptions horizontalCentered="1" verticalCentered="1" gridLinesSet="0"/>
  <pageMargins left="0.74803149606299213" right="0.74803149606299213" top="0.98425196850393704" bottom="0.98425196850393704" header="0.51181102362204722" footer="0.51181102362204722"/>
  <pageSetup paperSize="14" scale="5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C0CE4-46C6-4A07-B199-0E373E318CDF}">
  <dimension ref="A1:V46"/>
  <sheetViews>
    <sheetView zoomScaleNormal="100" workbookViewId="0">
      <selection activeCell="F20" sqref="F20"/>
    </sheetView>
  </sheetViews>
  <sheetFormatPr baseColWidth="10" defaultRowHeight="12.75" x14ac:dyDescent="0.2"/>
  <cols>
    <col min="1" max="1" width="7.140625" style="16" bestFit="1" customWidth="1"/>
    <col min="2" max="2" width="13.5703125" style="16" bestFit="1" customWidth="1"/>
    <col min="3" max="6" width="9.42578125" style="16" bestFit="1" customWidth="1"/>
    <col min="7" max="12" width="10.42578125" style="16" bestFit="1" customWidth="1"/>
    <col min="13" max="13" width="10.28515625" style="16" bestFit="1" customWidth="1"/>
    <col min="14" max="14" width="10.42578125" style="47" bestFit="1" customWidth="1"/>
    <col min="15" max="15" width="7.85546875" style="16" bestFit="1" customWidth="1"/>
    <col min="16" max="16" width="6.7109375" style="16" bestFit="1" customWidth="1"/>
    <col min="17" max="17" width="9.42578125" style="16" bestFit="1" customWidth="1"/>
    <col min="18" max="18" width="14" style="16" bestFit="1" customWidth="1"/>
    <col min="19" max="19" width="8.85546875" style="16" bestFit="1" customWidth="1"/>
    <col min="20" max="20" width="7.85546875" style="16" bestFit="1" customWidth="1"/>
    <col min="21" max="21" width="7.42578125" style="16" bestFit="1" customWidth="1"/>
    <col min="22" max="22" width="1.5703125" style="16" bestFit="1" customWidth="1"/>
    <col min="23" max="16384" width="11.42578125" style="16"/>
  </cols>
  <sheetData>
    <row r="1" spans="1:22" x14ac:dyDescent="0.2">
      <c r="B1" s="17"/>
      <c r="C1" s="18"/>
      <c r="D1" s="18"/>
      <c r="E1" s="18"/>
      <c r="F1" s="18"/>
      <c r="G1" s="18"/>
      <c r="H1" s="18"/>
      <c r="I1" s="18"/>
      <c r="J1" s="18"/>
      <c r="K1" s="18"/>
      <c r="L1" s="19"/>
    </row>
    <row r="2" spans="1:22" x14ac:dyDescent="0.2">
      <c r="A2" s="20">
        <v>0</v>
      </c>
      <c r="B2" s="21" t="s">
        <v>239</v>
      </c>
      <c r="C2" s="22">
        <v>1.1000000000000001</v>
      </c>
      <c r="D2" s="22">
        <f t="shared" ref="D2:K2" si="0">TRUNC(C2*1.1,6)</f>
        <v>1.21</v>
      </c>
      <c r="E2" s="22">
        <f t="shared" si="0"/>
        <v>1.331</v>
      </c>
      <c r="F2" s="22">
        <f t="shared" si="0"/>
        <v>1.4641</v>
      </c>
      <c r="G2" s="22">
        <f t="shared" si="0"/>
        <v>1.6105100000000001</v>
      </c>
      <c r="H2" s="22">
        <f t="shared" si="0"/>
        <v>1.7715609999999999</v>
      </c>
      <c r="I2" s="22">
        <f t="shared" si="0"/>
        <v>1.948717</v>
      </c>
      <c r="J2" s="22">
        <f t="shared" si="0"/>
        <v>2.1435879999999998</v>
      </c>
      <c r="K2" s="22">
        <f t="shared" si="0"/>
        <v>2.3579460000000001</v>
      </c>
      <c r="L2" s="21">
        <f>TRUNC(K2*1.06,6)</f>
        <v>2.499422</v>
      </c>
      <c r="M2" s="23"/>
      <c r="N2" s="48"/>
      <c r="R2" s="193" t="s">
        <v>238</v>
      </c>
      <c r="S2" s="193"/>
      <c r="T2" s="193"/>
      <c r="U2" s="193"/>
    </row>
    <row r="3" spans="1:22" x14ac:dyDescent="0.2">
      <c r="A3" s="25" t="s">
        <v>237</v>
      </c>
      <c r="B3" s="26" t="s">
        <v>236</v>
      </c>
      <c r="C3" s="27">
        <v>0.1</v>
      </c>
      <c r="D3" s="27">
        <v>0.2</v>
      </c>
      <c r="E3" s="27">
        <v>0.3</v>
      </c>
      <c r="F3" s="27">
        <v>0.4</v>
      </c>
      <c r="G3" s="27">
        <v>0.5</v>
      </c>
      <c r="H3" s="27">
        <v>0.6</v>
      </c>
      <c r="I3" s="27">
        <v>0.7</v>
      </c>
      <c r="J3" s="27">
        <v>0.8</v>
      </c>
      <c r="K3" s="27">
        <v>0.9</v>
      </c>
      <c r="L3" s="26">
        <v>0.96</v>
      </c>
      <c r="M3" s="23" t="s">
        <v>235</v>
      </c>
      <c r="N3" s="52" t="s">
        <v>120</v>
      </c>
      <c r="O3" s="24" t="s">
        <v>226</v>
      </c>
      <c r="P3" s="24" t="s">
        <v>225</v>
      </c>
      <c r="Q3" s="24" t="s">
        <v>120</v>
      </c>
      <c r="R3" s="28" t="s">
        <v>189</v>
      </c>
      <c r="S3" s="29">
        <v>0.12</v>
      </c>
      <c r="T3" s="28">
        <v>4</v>
      </c>
      <c r="U3" s="30">
        <v>16</v>
      </c>
    </row>
    <row r="4" spans="1:22" x14ac:dyDescent="0.2">
      <c r="A4" s="25" t="s">
        <v>94</v>
      </c>
      <c r="B4" s="23">
        <v>1631042</v>
      </c>
      <c r="C4" s="23">
        <f t="shared" ref="C4:H4" si="1">$B$4*C$2</f>
        <v>1794146.2000000002</v>
      </c>
      <c r="D4" s="23">
        <f t="shared" si="1"/>
        <v>1973560.8199999998</v>
      </c>
      <c r="E4" s="23">
        <f t="shared" si="1"/>
        <v>2170916.9019999998</v>
      </c>
      <c r="F4" s="23">
        <f t="shared" si="1"/>
        <v>2388008.5921999998</v>
      </c>
      <c r="G4" s="23">
        <f t="shared" si="1"/>
        <v>2626809.4514200003</v>
      </c>
      <c r="H4" s="23">
        <f t="shared" si="1"/>
        <v>2889490.3965619998</v>
      </c>
      <c r="I4" s="23">
        <f>($B$4*I$2)</f>
        <v>3178439.273114</v>
      </c>
      <c r="J4" s="23">
        <f>TRUNC($B$4*J$2)</f>
        <v>3496282</v>
      </c>
      <c r="K4" s="23">
        <f>TRUNC($B$4*K$2)</f>
        <v>3845908</v>
      </c>
      <c r="L4" s="23">
        <f>$B$4*L$2</f>
        <v>4076662.2577240001</v>
      </c>
      <c r="M4" s="23">
        <v>83997</v>
      </c>
      <c r="N4" s="49">
        <f>ROUND(M4+L4,0)</f>
        <v>4160659</v>
      </c>
      <c r="O4" s="23">
        <v>162000</v>
      </c>
      <c r="P4" s="23">
        <v>93332</v>
      </c>
      <c r="Q4" s="23">
        <f>+P4+O4+N4</f>
        <v>4415991</v>
      </c>
      <c r="R4" s="31"/>
      <c r="S4" s="29"/>
      <c r="T4" s="31"/>
      <c r="U4" s="31"/>
      <c r="V4" s="18" t="s">
        <v>119</v>
      </c>
    </row>
    <row r="5" spans="1:22" x14ac:dyDescent="0.2">
      <c r="A5" s="25">
        <v>3</v>
      </c>
      <c r="B5" s="23"/>
      <c r="C5" s="23">
        <f t="shared" ref="C5:L5" si="2">+C4-$B$4</f>
        <v>163104.20000000019</v>
      </c>
      <c r="D5" s="23">
        <f t="shared" si="2"/>
        <v>342518.81999999983</v>
      </c>
      <c r="E5" s="23">
        <f t="shared" si="2"/>
        <v>539874.90199999977</v>
      </c>
      <c r="F5" s="23">
        <f t="shared" si="2"/>
        <v>756966.59219999984</v>
      </c>
      <c r="G5" s="23">
        <f t="shared" si="2"/>
        <v>995767.45142000029</v>
      </c>
      <c r="H5" s="23">
        <f t="shared" si="2"/>
        <v>1258448.3965619998</v>
      </c>
      <c r="I5" s="23">
        <f t="shared" si="2"/>
        <v>1547397.273114</v>
      </c>
      <c r="J5" s="23">
        <f t="shared" si="2"/>
        <v>1865240</v>
      </c>
      <c r="K5" s="23">
        <f t="shared" si="2"/>
        <v>2214866</v>
      </c>
      <c r="L5" s="23">
        <f t="shared" si="2"/>
        <v>2445620.2577240001</v>
      </c>
      <c r="M5" s="24"/>
      <c r="N5" s="48"/>
      <c r="O5" s="23" t="s">
        <v>119</v>
      </c>
      <c r="P5" s="23"/>
      <c r="Q5" s="23"/>
      <c r="R5" s="193" t="s">
        <v>222</v>
      </c>
      <c r="S5" s="193"/>
      <c r="T5" s="193"/>
      <c r="U5" s="193"/>
    </row>
    <row r="6" spans="1:22" x14ac:dyDescent="0.2">
      <c r="A6" s="25" t="s">
        <v>95</v>
      </c>
      <c r="B6" s="23">
        <v>1765547</v>
      </c>
      <c r="C6" s="23">
        <f t="shared" ref="C6:L6" si="3">$B$6*C$2</f>
        <v>1942101.7000000002</v>
      </c>
      <c r="D6" s="23">
        <f t="shared" si="3"/>
        <v>2136311.87</v>
      </c>
      <c r="E6" s="23">
        <f t="shared" si="3"/>
        <v>2349943.057</v>
      </c>
      <c r="F6" s="23">
        <f t="shared" si="3"/>
        <v>2584937.3626999999</v>
      </c>
      <c r="G6" s="23">
        <f t="shared" si="3"/>
        <v>2843431.0989700002</v>
      </c>
      <c r="H6" s="23">
        <f t="shared" si="3"/>
        <v>3127774.208867</v>
      </c>
      <c r="I6" s="23">
        <f t="shared" si="3"/>
        <v>3440551.4531990001</v>
      </c>
      <c r="J6" s="23">
        <f t="shared" si="3"/>
        <v>3784605.3626359999</v>
      </c>
      <c r="K6" s="23">
        <f t="shared" si="3"/>
        <v>4163064.4864620003</v>
      </c>
      <c r="L6" s="23">
        <f t="shared" si="3"/>
        <v>4412847.0138339996</v>
      </c>
      <c r="M6" s="23">
        <v>90924</v>
      </c>
      <c r="N6" s="49">
        <f>ROUND(M6+L6,0)</f>
        <v>4503771</v>
      </c>
      <c r="O6" s="23">
        <v>162000</v>
      </c>
      <c r="P6" s="23">
        <v>93332</v>
      </c>
      <c r="Q6" s="23">
        <f>+P6+O6+N6</f>
        <v>4759103</v>
      </c>
      <c r="R6" s="28" t="s">
        <v>214</v>
      </c>
      <c r="S6" s="32" t="s">
        <v>220</v>
      </c>
      <c r="T6" s="29">
        <v>0.04</v>
      </c>
      <c r="U6" s="33" t="s">
        <v>192</v>
      </c>
    </row>
    <row r="7" spans="1:22" x14ac:dyDescent="0.2">
      <c r="A7" s="25">
        <v>4</v>
      </c>
      <c r="B7" s="23"/>
      <c r="C7" s="23">
        <f>+C6-$B$6</f>
        <v>176554.70000000019</v>
      </c>
      <c r="D7" s="23">
        <f t="shared" ref="D7:L7" si="4">+D6-$B$6</f>
        <v>370764.87000000011</v>
      </c>
      <c r="E7" s="23">
        <f t="shared" si="4"/>
        <v>584396.05700000003</v>
      </c>
      <c r="F7" s="23">
        <f t="shared" si="4"/>
        <v>819390.36269999994</v>
      </c>
      <c r="G7" s="23">
        <f t="shared" si="4"/>
        <v>1077884.0989700002</v>
      </c>
      <c r="H7" s="23">
        <f t="shared" si="4"/>
        <v>1362227.208867</v>
      </c>
      <c r="I7" s="23">
        <f t="shared" si="4"/>
        <v>1675004.4531990001</v>
      </c>
      <c r="J7" s="23">
        <f t="shared" si="4"/>
        <v>2019058.3626359999</v>
      </c>
      <c r="K7" s="23">
        <f t="shared" si="4"/>
        <v>2397517.4864620003</v>
      </c>
      <c r="L7" s="23">
        <f t="shared" si="4"/>
        <v>2647300.0138339996</v>
      </c>
      <c r="M7" s="24"/>
      <c r="N7" s="48"/>
      <c r="O7" s="23" t="s">
        <v>119</v>
      </c>
      <c r="P7" s="23"/>
      <c r="Q7" s="23"/>
      <c r="R7" s="28" t="s">
        <v>189</v>
      </c>
      <c r="S7" s="34" t="s">
        <v>218</v>
      </c>
      <c r="T7" s="35" t="s">
        <v>211</v>
      </c>
      <c r="U7" s="33" t="s">
        <v>210</v>
      </c>
    </row>
    <row r="8" spans="1:22" x14ac:dyDescent="0.2">
      <c r="A8" s="20" t="s">
        <v>96</v>
      </c>
      <c r="B8" s="23">
        <v>2184467</v>
      </c>
      <c r="C8" s="23">
        <f t="shared" ref="C8:L8" si="5">$B$8*C$2</f>
        <v>2402913.7000000002</v>
      </c>
      <c r="D8" s="23">
        <f t="shared" si="5"/>
        <v>2643205.0699999998</v>
      </c>
      <c r="E8" s="23">
        <f t="shared" si="5"/>
        <v>2907525.577</v>
      </c>
      <c r="F8" s="23">
        <f t="shared" si="5"/>
        <v>3198278.1346999998</v>
      </c>
      <c r="G8" s="23">
        <f t="shared" si="5"/>
        <v>3518105.9481700002</v>
      </c>
      <c r="H8" s="23">
        <f t="shared" si="5"/>
        <v>3869916.5429869997</v>
      </c>
      <c r="I8" s="23">
        <f t="shared" si="5"/>
        <v>4256907.9788389998</v>
      </c>
      <c r="J8" s="23">
        <f t="shared" si="5"/>
        <v>4682597.2475959994</v>
      </c>
      <c r="K8" s="23">
        <f t="shared" si="5"/>
        <v>5150855.2247820003</v>
      </c>
      <c r="L8" s="23">
        <f t="shared" si="5"/>
        <v>5459904.8780739997</v>
      </c>
      <c r="M8" s="23">
        <v>112498</v>
      </c>
      <c r="N8" s="49">
        <f>ROUND(M8+L8,0)</f>
        <v>5572403</v>
      </c>
      <c r="O8" s="23">
        <v>162000</v>
      </c>
      <c r="P8" s="23">
        <v>93332</v>
      </c>
      <c r="Q8" s="23">
        <f>+P8+O8+N8</f>
        <v>5827735</v>
      </c>
      <c r="R8" s="31"/>
      <c r="S8" s="29"/>
      <c r="T8" s="31"/>
      <c r="U8" s="31"/>
    </row>
    <row r="9" spans="1:22" x14ac:dyDescent="0.2">
      <c r="A9" s="25">
        <v>6</v>
      </c>
      <c r="B9" s="23"/>
      <c r="C9" s="23">
        <f t="shared" ref="C9:L9" si="6">+C8-$B$8</f>
        <v>218446.70000000019</v>
      </c>
      <c r="D9" s="23">
        <f t="shared" si="6"/>
        <v>458738.06999999983</v>
      </c>
      <c r="E9" s="23">
        <f t="shared" si="6"/>
        <v>723058.57700000005</v>
      </c>
      <c r="F9" s="23">
        <f t="shared" si="6"/>
        <v>1013811.1346999998</v>
      </c>
      <c r="G9" s="23">
        <f t="shared" si="6"/>
        <v>1333638.9481700002</v>
      </c>
      <c r="H9" s="23">
        <f t="shared" si="6"/>
        <v>1685449.5429869997</v>
      </c>
      <c r="I9" s="23">
        <f t="shared" si="6"/>
        <v>2072440.9788389998</v>
      </c>
      <c r="J9" s="23">
        <f t="shared" si="6"/>
        <v>2498130.2475959994</v>
      </c>
      <c r="K9" s="23">
        <f t="shared" si="6"/>
        <v>2966388.2247820003</v>
      </c>
      <c r="L9" s="23">
        <f t="shared" si="6"/>
        <v>3275437.8780739997</v>
      </c>
      <c r="M9" s="24"/>
      <c r="N9" s="48"/>
      <c r="O9" s="23" t="s">
        <v>119</v>
      </c>
      <c r="P9" s="23"/>
      <c r="Q9" s="23"/>
      <c r="R9" s="193" t="s">
        <v>216</v>
      </c>
      <c r="S9" s="193"/>
      <c r="T9" s="193"/>
      <c r="U9" s="193"/>
    </row>
    <row r="10" spans="1:22" x14ac:dyDescent="0.2">
      <c r="A10" s="20" t="s">
        <v>97</v>
      </c>
      <c r="B10" s="23">
        <v>2476880</v>
      </c>
      <c r="C10" s="23">
        <f>TRUNC($B$10*C$2)</f>
        <v>2724568</v>
      </c>
      <c r="D10" s="23">
        <f t="shared" ref="D10:J10" si="7">$B$10*D$2</f>
        <v>2997024.8</v>
      </c>
      <c r="E10" s="23">
        <f t="shared" si="7"/>
        <v>3296727.28</v>
      </c>
      <c r="F10" s="23">
        <f t="shared" si="7"/>
        <v>3626400.0079999999</v>
      </c>
      <c r="G10" s="23">
        <f t="shared" si="7"/>
        <v>3989040.0088000004</v>
      </c>
      <c r="H10" s="23">
        <f t="shared" si="7"/>
        <v>4387944.0096800001</v>
      </c>
      <c r="I10" s="23">
        <f t="shared" si="7"/>
        <v>4826738.1629600003</v>
      </c>
      <c r="J10" s="23">
        <f t="shared" si="7"/>
        <v>5309410.2454399997</v>
      </c>
      <c r="K10" s="23">
        <f>TRUNC($B$10*K$2)</f>
        <v>5840349</v>
      </c>
      <c r="L10" s="23">
        <f>$B$10*L$2</f>
        <v>6190768.3633599998</v>
      </c>
      <c r="M10" s="23">
        <v>127557</v>
      </c>
      <c r="N10" s="49">
        <f>ROUND(M10+L10,0)</f>
        <v>6318325</v>
      </c>
      <c r="O10" s="23">
        <v>0</v>
      </c>
      <c r="P10" s="23">
        <v>93332</v>
      </c>
      <c r="Q10" s="23">
        <f>+P10+O10+N10</f>
        <v>6411657</v>
      </c>
      <c r="R10" s="28" t="s">
        <v>214</v>
      </c>
      <c r="S10" s="32">
        <v>0.08</v>
      </c>
      <c r="T10" s="29">
        <v>0.04</v>
      </c>
      <c r="U10" s="36">
        <v>0.12</v>
      </c>
    </row>
    <row r="11" spans="1:22" x14ac:dyDescent="0.2">
      <c r="A11" s="25">
        <v>8</v>
      </c>
      <c r="B11" s="23"/>
      <c r="C11" s="23">
        <f t="shared" ref="C11:L11" si="8">+C10-$B$10</f>
        <v>247688</v>
      </c>
      <c r="D11" s="23">
        <f t="shared" si="8"/>
        <v>520144.79999999981</v>
      </c>
      <c r="E11" s="23">
        <f t="shared" si="8"/>
        <v>819847.2799999998</v>
      </c>
      <c r="F11" s="23">
        <f t="shared" si="8"/>
        <v>1149520.0079999999</v>
      </c>
      <c r="G11" s="23">
        <f t="shared" si="8"/>
        <v>1512160.0088000004</v>
      </c>
      <c r="H11" s="23">
        <f t="shared" si="8"/>
        <v>1911064.0096800001</v>
      </c>
      <c r="I11" s="23">
        <f t="shared" si="8"/>
        <v>2349858.1629600003</v>
      </c>
      <c r="J11" s="23">
        <f t="shared" si="8"/>
        <v>2832530.2454399997</v>
      </c>
      <c r="K11" s="23">
        <f t="shared" si="8"/>
        <v>3363469</v>
      </c>
      <c r="L11" s="23">
        <f t="shared" si="8"/>
        <v>3713888.3633599998</v>
      </c>
      <c r="M11" s="24"/>
      <c r="N11" s="48"/>
      <c r="O11" s="23"/>
      <c r="P11" s="23"/>
      <c r="Q11" s="23"/>
      <c r="R11" s="28" t="s">
        <v>189</v>
      </c>
      <c r="S11" s="34" t="s">
        <v>218</v>
      </c>
      <c r="T11" s="35" t="s">
        <v>211</v>
      </c>
      <c r="U11" s="33" t="s">
        <v>210</v>
      </c>
    </row>
    <row r="12" spans="1:22" x14ac:dyDescent="0.2">
      <c r="A12" s="20" t="s">
        <v>98</v>
      </c>
      <c r="B12" s="23">
        <v>2605004</v>
      </c>
      <c r="C12" s="23">
        <f t="shared" ref="C12:L12" si="9">$B$12*C$2</f>
        <v>2865504.4000000004</v>
      </c>
      <c r="D12" s="23">
        <f t="shared" si="9"/>
        <v>3152054.84</v>
      </c>
      <c r="E12" s="23">
        <f t="shared" si="9"/>
        <v>3467260.324</v>
      </c>
      <c r="F12" s="23">
        <f t="shared" si="9"/>
        <v>3813986.3563999999</v>
      </c>
      <c r="G12" s="23">
        <f t="shared" si="9"/>
        <v>4195384.9920399999</v>
      </c>
      <c r="H12" s="23">
        <f t="shared" si="9"/>
        <v>4614923.4912439995</v>
      </c>
      <c r="I12" s="23">
        <f t="shared" si="9"/>
        <v>5076415.579868</v>
      </c>
      <c r="J12" s="23">
        <f t="shared" si="9"/>
        <v>5584055.3143519992</v>
      </c>
      <c r="K12" s="23">
        <f t="shared" si="9"/>
        <v>6142458.7617840003</v>
      </c>
      <c r="L12" s="23">
        <f t="shared" si="9"/>
        <v>6511004.3076879997</v>
      </c>
      <c r="M12" s="23">
        <v>134154</v>
      </c>
      <c r="N12" s="49">
        <f>ROUND(M12+L12,0)</f>
        <v>6645158</v>
      </c>
      <c r="O12" s="23">
        <v>0</v>
      </c>
      <c r="P12" s="23">
        <v>93332</v>
      </c>
      <c r="Q12" s="23">
        <f>+P12+O12+N12</f>
        <v>6738490</v>
      </c>
      <c r="R12" s="193" t="s">
        <v>209</v>
      </c>
      <c r="S12" s="193"/>
      <c r="T12" s="193"/>
      <c r="U12" s="193"/>
    </row>
    <row r="13" spans="1:22" x14ac:dyDescent="0.2">
      <c r="A13" s="25">
        <v>9</v>
      </c>
      <c r="B13" s="23"/>
      <c r="C13" s="23">
        <f t="shared" ref="C13:L13" si="10">+C12-$B$12</f>
        <v>260500.40000000037</v>
      </c>
      <c r="D13" s="23">
        <f t="shared" si="10"/>
        <v>547050.83999999985</v>
      </c>
      <c r="E13" s="23">
        <f t="shared" si="10"/>
        <v>862256.32400000002</v>
      </c>
      <c r="F13" s="23">
        <f t="shared" si="10"/>
        <v>1208982.3563999999</v>
      </c>
      <c r="G13" s="23">
        <f t="shared" si="10"/>
        <v>1590380.9920399999</v>
      </c>
      <c r="H13" s="23">
        <f t="shared" si="10"/>
        <v>2009919.4912439995</v>
      </c>
      <c r="I13" s="23">
        <f t="shared" si="10"/>
        <v>2471411.579868</v>
      </c>
      <c r="J13" s="23">
        <f t="shared" si="10"/>
        <v>2979051.3143519992</v>
      </c>
      <c r="K13" s="23">
        <f t="shared" si="10"/>
        <v>3537454.7617840003</v>
      </c>
      <c r="L13" s="23">
        <f t="shared" si="10"/>
        <v>3906000.3076879997</v>
      </c>
      <c r="M13" s="24"/>
      <c r="N13" s="48"/>
      <c r="O13" s="18"/>
      <c r="P13" s="18"/>
      <c r="Q13" s="18"/>
      <c r="R13" s="28" t="s">
        <v>189</v>
      </c>
      <c r="S13" s="34" t="s">
        <v>208</v>
      </c>
      <c r="T13" s="35" t="s">
        <v>207</v>
      </c>
      <c r="U13" s="36">
        <v>0.15</v>
      </c>
    </row>
    <row r="14" spans="1:22" x14ac:dyDescent="0.2">
      <c r="A14" s="25" t="s">
        <v>99</v>
      </c>
      <c r="B14" s="23">
        <v>2755272</v>
      </c>
      <c r="C14" s="23">
        <f t="shared" ref="C14:L14" si="11">$B$14*C$2</f>
        <v>3030799.2</v>
      </c>
      <c r="D14" s="23">
        <f t="shared" si="11"/>
        <v>3333879.12</v>
      </c>
      <c r="E14" s="23">
        <f t="shared" si="11"/>
        <v>3667267.0320000001</v>
      </c>
      <c r="F14" s="23">
        <f t="shared" si="11"/>
        <v>4033993.7352</v>
      </c>
      <c r="G14" s="23">
        <f t="shared" si="11"/>
        <v>4437393.1087199999</v>
      </c>
      <c r="H14" s="23">
        <f t="shared" si="11"/>
        <v>4881132.4195919996</v>
      </c>
      <c r="I14" s="23">
        <f t="shared" si="11"/>
        <v>5369245.3860240001</v>
      </c>
      <c r="J14" s="23">
        <f t="shared" si="11"/>
        <v>5906167.9959359998</v>
      </c>
      <c r="K14" s="23">
        <f t="shared" si="11"/>
        <v>6496782.5913120005</v>
      </c>
      <c r="L14" s="23">
        <f t="shared" si="11"/>
        <v>6886587.452784</v>
      </c>
      <c r="M14" s="23">
        <v>141896</v>
      </c>
      <c r="N14" s="49">
        <f>ROUND(M14+L14,0)</f>
        <v>7028483</v>
      </c>
      <c r="O14" s="18"/>
      <c r="P14" s="18"/>
      <c r="Q14" s="18"/>
      <c r="R14" s="31"/>
      <c r="S14" s="29"/>
      <c r="T14" s="31"/>
      <c r="U14" s="31"/>
    </row>
    <row r="15" spans="1:22" x14ac:dyDescent="0.2">
      <c r="A15" s="25">
        <v>10</v>
      </c>
      <c r="B15" s="23"/>
      <c r="C15" s="23">
        <f t="shared" ref="C15:L15" si="12">+C14-$B$14</f>
        <v>275527.20000000019</v>
      </c>
      <c r="D15" s="23">
        <f t="shared" si="12"/>
        <v>578607.12000000011</v>
      </c>
      <c r="E15" s="23">
        <f t="shared" si="12"/>
        <v>911995.03200000012</v>
      </c>
      <c r="F15" s="23">
        <f t="shared" si="12"/>
        <v>1278721.7352</v>
      </c>
      <c r="G15" s="23">
        <f t="shared" si="12"/>
        <v>1682121.1087199999</v>
      </c>
      <c r="H15" s="23">
        <f t="shared" si="12"/>
        <v>2125860.4195919996</v>
      </c>
      <c r="I15" s="23">
        <f t="shared" si="12"/>
        <v>2613973.3860240001</v>
      </c>
      <c r="J15" s="23">
        <f t="shared" si="12"/>
        <v>3150895.9959359998</v>
      </c>
      <c r="K15" s="23">
        <f t="shared" si="12"/>
        <v>3741510.5913120005</v>
      </c>
      <c r="L15" s="23">
        <f t="shared" si="12"/>
        <v>4131315.452784</v>
      </c>
      <c r="M15" s="24"/>
      <c r="N15" s="48"/>
      <c r="O15" s="18"/>
      <c r="P15" s="18"/>
      <c r="Q15" s="18"/>
      <c r="R15" s="193" t="s">
        <v>234</v>
      </c>
      <c r="S15" s="193"/>
      <c r="T15" s="193"/>
      <c r="U15" s="193"/>
    </row>
    <row r="16" spans="1:22" x14ac:dyDescent="0.2">
      <c r="A16" s="25" t="s">
        <v>100</v>
      </c>
      <c r="B16" s="23">
        <v>2902772</v>
      </c>
      <c r="C16" s="23">
        <f t="shared" ref="C16:L16" si="13">$B$16*C$2</f>
        <v>3193049.2</v>
      </c>
      <c r="D16" s="23">
        <f t="shared" si="13"/>
        <v>3512354.12</v>
      </c>
      <c r="E16" s="23">
        <f t="shared" si="13"/>
        <v>3863589.5319999997</v>
      </c>
      <c r="F16" s="23">
        <f t="shared" si="13"/>
        <v>4249948.4852</v>
      </c>
      <c r="G16" s="23">
        <f t="shared" si="13"/>
        <v>4674943.3337200005</v>
      </c>
      <c r="H16" s="23">
        <f t="shared" si="13"/>
        <v>5142437.6670920001</v>
      </c>
      <c r="I16" s="23">
        <f t="shared" si="13"/>
        <v>5656681.1435240004</v>
      </c>
      <c r="J16" s="23">
        <f t="shared" si="13"/>
        <v>6222347.2259359993</v>
      </c>
      <c r="K16" s="23">
        <f t="shared" si="13"/>
        <v>6844579.6263120007</v>
      </c>
      <c r="L16" s="23">
        <f t="shared" si="13"/>
        <v>7255252.1977840001</v>
      </c>
      <c r="M16" s="23">
        <v>149490</v>
      </c>
      <c r="N16" s="49">
        <f>ROUND(M16+L16,0)</f>
        <v>7404742</v>
      </c>
      <c r="O16" s="18"/>
      <c r="P16" s="18"/>
      <c r="Q16" s="18"/>
      <c r="R16" s="28" t="s">
        <v>189</v>
      </c>
      <c r="S16" s="32" t="s">
        <v>204</v>
      </c>
      <c r="T16" s="35" t="s">
        <v>203</v>
      </c>
      <c r="U16" s="32" t="s">
        <v>202</v>
      </c>
    </row>
    <row r="17" spans="1:21" x14ac:dyDescent="0.2">
      <c r="A17" s="25">
        <v>11</v>
      </c>
      <c r="B17" s="23"/>
      <c r="C17" s="23">
        <f t="shared" ref="C17:L17" si="14">+C16-$B$16</f>
        <v>290277.20000000019</v>
      </c>
      <c r="D17" s="23">
        <f t="shared" si="14"/>
        <v>609582.12000000011</v>
      </c>
      <c r="E17" s="23">
        <f t="shared" si="14"/>
        <v>960817.53199999966</v>
      </c>
      <c r="F17" s="23">
        <f t="shared" si="14"/>
        <v>1347176.4852</v>
      </c>
      <c r="G17" s="23">
        <f t="shared" si="14"/>
        <v>1772171.3337200005</v>
      </c>
      <c r="H17" s="23">
        <f t="shared" si="14"/>
        <v>2239665.6670920001</v>
      </c>
      <c r="I17" s="23">
        <f t="shared" si="14"/>
        <v>2753909.1435240004</v>
      </c>
      <c r="J17" s="23">
        <f t="shared" si="14"/>
        <v>3319575.2259359993</v>
      </c>
      <c r="K17" s="23">
        <f t="shared" si="14"/>
        <v>3941807.6263120007</v>
      </c>
      <c r="L17" s="23">
        <f t="shared" si="14"/>
        <v>4352480.1977840001</v>
      </c>
      <c r="M17" s="24"/>
      <c r="N17" s="48"/>
      <c r="O17" s="18"/>
      <c r="P17" s="18"/>
      <c r="Q17" s="18"/>
      <c r="R17" s="31"/>
      <c r="S17" s="29"/>
      <c r="T17" s="31"/>
      <c r="U17" s="31"/>
    </row>
    <row r="18" spans="1:21" x14ac:dyDescent="0.2">
      <c r="A18" s="25" t="s">
        <v>101</v>
      </c>
      <c r="B18" s="23">
        <v>3040397</v>
      </c>
      <c r="C18" s="23">
        <f t="shared" ref="C18:L18" si="15">$B$18*C$2</f>
        <v>3344436.7</v>
      </c>
      <c r="D18" s="23">
        <f t="shared" si="15"/>
        <v>3678880.37</v>
      </c>
      <c r="E18" s="23">
        <f t="shared" si="15"/>
        <v>4046768.4069999997</v>
      </c>
      <c r="F18" s="23">
        <f t="shared" si="15"/>
        <v>4451445.2477000002</v>
      </c>
      <c r="G18" s="23">
        <f t="shared" si="15"/>
        <v>4896589.7724700002</v>
      </c>
      <c r="H18" s="23">
        <f t="shared" si="15"/>
        <v>5386248.7497169999</v>
      </c>
      <c r="I18" s="23">
        <f t="shared" si="15"/>
        <v>5924873.3206489999</v>
      </c>
      <c r="J18" s="23">
        <f t="shared" si="15"/>
        <v>6517358.5244359998</v>
      </c>
      <c r="K18" s="23">
        <f t="shared" si="15"/>
        <v>7169091.9445620002</v>
      </c>
      <c r="L18" s="23">
        <f t="shared" si="15"/>
        <v>7599235.1505340002</v>
      </c>
      <c r="M18" s="23">
        <v>156580</v>
      </c>
      <c r="N18" s="49">
        <f>ROUND(M18+L18,0)</f>
        <v>7755815</v>
      </c>
      <c r="O18" s="18"/>
      <c r="P18" s="18"/>
      <c r="Q18" s="18"/>
      <c r="R18" s="193" t="s">
        <v>233</v>
      </c>
      <c r="S18" s="193"/>
      <c r="T18" s="193"/>
      <c r="U18" s="193"/>
    </row>
    <row r="19" spans="1:21" x14ac:dyDescent="0.2">
      <c r="A19" s="25">
        <v>12</v>
      </c>
      <c r="B19" s="23"/>
      <c r="C19" s="23">
        <f t="shared" ref="C19:L19" si="16">+C18-$B$18</f>
        <v>304039.70000000019</v>
      </c>
      <c r="D19" s="23">
        <f t="shared" si="16"/>
        <v>638483.37000000011</v>
      </c>
      <c r="E19" s="23">
        <f t="shared" si="16"/>
        <v>1006371.4069999997</v>
      </c>
      <c r="F19" s="23">
        <f t="shared" si="16"/>
        <v>1411048.2477000002</v>
      </c>
      <c r="G19" s="23">
        <f t="shared" si="16"/>
        <v>1856192.7724700002</v>
      </c>
      <c r="H19" s="23">
        <f t="shared" si="16"/>
        <v>2345851.7497169999</v>
      </c>
      <c r="I19" s="23">
        <f t="shared" si="16"/>
        <v>2884476.3206489999</v>
      </c>
      <c r="J19" s="23">
        <f t="shared" si="16"/>
        <v>3476961.5244359998</v>
      </c>
      <c r="K19" s="23">
        <f t="shared" si="16"/>
        <v>4128694.9445620002</v>
      </c>
      <c r="L19" s="23">
        <f t="shared" si="16"/>
        <v>4558838.1505340002</v>
      </c>
      <c r="M19" s="24"/>
      <c r="N19" s="48"/>
      <c r="O19" s="18"/>
      <c r="P19" s="18"/>
      <c r="Q19" s="18"/>
      <c r="R19" s="28" t="s">
        <v>189</v>
      </c>
      <c r="S19" s="32" t="s">
        <v>200</v>
      </c>
      <c r="T19" s="35" t="s">
        <v>199</v>
      </c>
      <c r="U19" s="32" t="s">
        <v>198</v>
      </c>
    </row>
    <row r="20" spans="1:21" x14ac:dyDescent="0.2">
      <c r="A20" s="25" t="s">
        <v>104</v>
      </c>
      <c r="B20" s="23">
        <v>3090527</v>
      </c>
      <c r="C20" s="23">
        <f t="shared" ref="C20:L20" si="17">$B$20*C$2</f>
        <v>3399579.7</v>
      </c>
      <c r="D20" s="23">
        <f t="shared" si="17"/>
        <v>3739537.67</v>
      </c>
      <c r="E20" s="23">
        <f t="shared" si="17"/>
        <v>4113491.4369999999</v>
      </c>
      <c r="F20" s="23">
        <f t="shared" si="17"/>
        <v>4524840.5806999998</v>
      </c>
      <c r="G20" s="23">
        <f t="shared" si="17"/>
        <v>4977324.6387700001</v>
      </c>
      <c r="H20" s="23">
        <f t="shared" si="17"/>
        <v>5475057.102647</v>
      </c>
      <c r="I20" s="23">
        <f t="shared" si="17"/>
        <v>6022562.5038590003</v>
      </c>
      <c r="J20" s="23">
        <f t="shared" si="17"/>
        <v>6624816.5908759991</v>
      </c>
      <c r="K20" s="23">
        <f t="shared" si="17"/>
        <v>7287295.7775420006</v>
      </c>
      <c r="L20" s="23">
        <f t="shared" si="17"/>
        <v>7724531.1753940005</v>
      </c>
      <c r="M20" s="23">
        <v>159161</v>
      </c>
      <c r="N20" s="49">
        <f>ROUND(M20+L20,0)</f>
        <v>7883692</v>
      </c>
      <c r="O20" s="18"/>
      <c r="P20" s="18"/>
      <c r="Q20" s="18"/>
      <c r="R20" s="31"/>
      <c r="S20" s="29"/>
      <c r="T20" s="31"/>
      <c r="U20" s="31"/>
    </row>
    <row r="21" spans="1:21" x14ac:dyDescent="0.2">
      <c r="A21" s="25">
        <v>13</v>
      </c>
      <c r="B21" s="23"/>
      <c r="C21" s="23">
        <f t="shared" ref="C21:L21" si="18">+C20-$B$20</f>
        <v>309052.70000000019</v>
      </c>
      <c r="D21" s="23">
        <f t="shared" si="18"/>
        <v>649010.66999999993</v>
      </c>
      <c r="E21" s="23">
        <f t="shared" si="18"/>
        <v>1022964.4369999999</v>
      </c>
      <c r="F21" s="23">
        <f t="shared" si="18"/>
        <v>1434313.5806999998</v>
      </c>
      <c r="G21" s="23">
        <f t="shared" si="18"/>
        <v>1886797.6387700001</v>
      </c>
      <c r="H21" s="23">
        <f t="shared" si="18"/>
        <v>2384530.102647</v>
      </c>
      <c r="I21" s="23">
        <f t="shared" si="18"/>
        <v>2932035.5038590003</v>
      </c>
      <c r="J21" s="23">
        <f t="shared" si="18"/>
        <v>3534289.5908759991</v>
      </c>
      <c r="K21" s="23">
        <f t="shared" si="18"/>
        <v>4196768.7775420006</v>
      </c>
      <c r="L21" s="23">
        <f t="shared" si="18"/>
        <v>4634004.1753940005</v>
      </c>
      <c r="M21" s="24"/>
      <c r="N21" s="48"/>
      <c r="O21" s="18"/>
      <c r="P21" s="18"/>
      <c r="Q21" s="18"/>
      <c r="R21" s="193" t="s">
        <v>232</v>
      </c>
      <c r="S21" s="193"/>
      <c r="T21" s="193"/>
      <c r="U21" s="193"/>
    </row>
    <row r="22" spans="1:21" x14ac:dyDescent="0.2">
      <c r="A22" s="25" t="s">
        <v>102</v>
      </c>
      <c r="B22" s="23">
        <v>3230314</v>
      </c>
      <c r="C22" s="23">
        <f t="shared" ref="C22:L22" si="19">$B$22*C$2</f>
        <v>3553345.4000000004</v>
      </c>
      <c r="D22" s="23">
        <f t="shared" si="19"/>
        <v>3908679.94</v>
      </c>
      <c r="E22" s="23">
        <f t="shared" si="19"/>
        <v>4299547.9339999994</v>
      </c>
      <c r="F22" s="23">
        <f t="shared" si="19"/>
        <v>4729502.7274000002</v>
      </c>
      <c r="G22" s="23">
        <f t="shared" si="19"/>
        <v>5202453.0001400001</v>
      </c>
      <c r="H22" s="23">
        <f t="shared" si="19"/>
        <v>5722698.3001539996</v>
      </c>
      <c r="I22" s="23">
        <f t="shared" si="19"/>
        <v>6294967.8071379997</v>
      </c>
      <c r="J22" s="23">
        <f t="shared" si="19"/>
        <v>6924462.3266319996</v>
      </c>
      <c r="K22" s="23">
        <f t="shared" si="19"/>
        <v>7616905.975044</v>
      </c>
      <c r="L22" s="23">
        <f t="shared" si="19"/>
        <v>8073917.8785079997</v>
      </c>
      <c r="M22" s="23">
        <v>166359</v>
      </c>
      <c r="N22" s="49">
        <f>ROUND(M22+L22,0)</f>
        <v>8240277</v>
      </c>
      <c r="O22" s="18"/>
      <c r="P22" s="18"/>
      <c r="Q22" s="18"/>
      <c r="R22" s="28" t="s">
        <v>189</v>
      </c>
      <c r="S22" s="32" t="s">
        <v>194</v>
      </c>
      <c r="T22" s="35" t="s">
        <v>193</v>
      </c>
      <c r="U22" s="32" t="s">
        <v>192</v>
      </c>
    </row>
    <row r="23" spans="1:21" x14ac:dyDescent="0.2">
      <c r="A23" s="25">
        <v>14</v>
      </c>
      <c r="B23" s="23"/>
      <c r="C23" s="23">
        <f t="shared" ref="C23:L23" si="20">+C22-$B$22</f>
        <v>323031.40000000037</v>
      </c>
      <c r="D23" s="23">
        <f t="shared" si="20"/>
        <v>678365.94</v>
      </c>
      <c r="E23" s="23">
        <f t="shared" si="20"/>
        <v>1069233.9339999994</v>
      </c>
      <c r="F23" s="23">
        <f t="shared" si="20"/>
        <v>1499188.7274000002</v>
      </c>
      <c r="G23" s="23">
        <f t="shared" si="20"/>
        <v>1972139.0001400001</v>
      </c>
      <c r="H23" s="23">
        <f t="shared" si="20"/>
        <v>2492384.3001539996</v>
      </c>
      <c r="I23" s="23">
        <f t="shared" si="20"/>
        <v>3064653.8071379997</v>
      </c>
      <c r="J23" s="23">
        <f t="shared" si="20"/>
        <v>3694148.3266319996</v>
      </c>
      <c r="K23" s="23">
        <f t="shared" si="20"/>
        <v>4386591.975044</v>
      </c>
      <c r="L23" s="23">
        <f t="shared" si="20"/>
        <v>4843603.8785079997</v>
      </c>
      <c r="M23" s="24"/>
      <c r="N23" s="48"/>
      <c r="O23" s="18"/>
      <c r="P23" s="18"/>
      <c r="Q23" s="18"/>
      <c r="R23" s="31"/>
      <c r="S23" s="29"/>
      <c r="T23" s="31"/>
      <c r="U23" s="31"/>
    </row>
    <row r="24" spans="1:21" x14ac:dyDescent="0.2">
      <c r="A24" s="25" t="s">
        <v>105</v>
      </c>
      <c r="B24" s="23">
        <v>3710278</v>
      </c>
      <c r="C24" s="23">
        <f t="shared" ref="C24:L24" si="21">$B$24*C$2</f>
        <v>4081305.8000000003</v>
      </c>
      <c r="D24" s="23">
        <f t="shared" si="21"/>
        <v>4489436.38</v>
      </c>
      <c r="E24" s="23">
        <f t="shared" si="21"/>
        <v>4938380.0180000002</v>
      </c>
      <c r="F24" s="23">
        <f t="shared" si="21"/>
        <v>5432218.0197999999</v>
      </c>
      <c r="G24" s="23">
        <f t="shared" si="21"/>
        <v>5975439.8217800008</v>
      </c>
      <c r="H24" s="23">
        <f t="shared" si="21"/>
        <v>6572983.8039579997</v>
      </c>
      <c r="I24" s="23">
        <f t="shared" si="21"/>
        <v>7230281.8133260002</v>
      </c>
      <c r="J24" s="23">
        <f t="shared" si="21"/>
        <v>7953307.3974639997</v>
      </c>
      <c r="K24" s="23">
        <f t="shared" si="21"/>
        <v>8748635.1689880006</v>
      </c>
      <c r="L24" s="23">
        <f t="shared" si="21"/>
        <v>9273550.4593160003</v>
      </c>
      <c r="M24" s="23">
        <v>191077</v>
      </c>
      <c r="N24" s="49">
        <f>ROUND(M24+L24,0)</f>
        <v>9464627</v>
      </c>
      <c r="O24" s="18"/>
      <c r="P24" s="18"/>
      <c r="Q24" s="18"/>
      <c r="R24" s="193" t="s">
        <v>231</v>
      </c>
      <c r="S24" s="193"/>
      <c r="T24" s="193"/>
      <c r="U24" s="193"/>
    </row>
    <row r="25" spans="1:21" x14ac:dyDescent="0.2">
      <c r="A25" s="25">
        <v>15</v>
      </c>
      <c r="B25" s="23"/>
      <c r="C25" s="23">
        <f t="shared" ref="C25:L25" si="22">+C24-$B$24</f>
        <v>371027.80000000028</v>
      </c>
      <c r="D25" s="23">
        <f t="shared" si="22"/>
        <v>779158.37999999989</v>
      </c>
      <c r="E25" s="23">
        <f t="shared" si="22"/>
        <v>1228102.0180000002</v>
      </c>
      <c r="F25" s="23">
        <f t="shared" si="22"/>
        <v>1721940.0197999999</v>
      </c>
      <c r="G25" s="23">
        <f t="shared" si="22"/>
        <v>2265161.8217800008</v>
      </c>
      <c r="H25" s="23">
        <f t="shared" si="22"/>
        <v>2862705.8039579997</v>
      </c>
      <c r="I25" s="23">
        <f t="shared" si="22"/>
        <v>3520003.8133260002</v>
      </c>
      <c r="J25" s="23">
        <f t="shared" si="22"/>
        <v>4243029.3974639997</v>
      </c>
      <c r="K25" s="23">
        <f t="shared" si="22"/>
        <v>5038357.1689880006</v>
      </c>
      <c r="L25" s="23">
        <f t="shared" si="22"/>
        <v>5563272.4593160003</v>
      </c>
      <c r="M25" s="24"/>
      <c r="N25" s="48"/>
      <c r="O25" s="18"/>
      <c r="P25" s="18"/>
      <c r="Q25" s="18"/>
      <c r="R25" s="28" t="s">
        <v>189</v>
      </c>
      <c r="S25" s="32" t="s">
        <v>188</v>
      </c>
      <c r="T25" s="35" t="s">
        <v>187</v>
      </c>
      <c r="U25" s="32" t="s">
        <v>186</v>
      </c>
    </row>
    <row r="26" spans="1:21" x14ac:dyDescent="0.2">
      <c r="A26" s="25" t="s">
        <v>103</v>
      </c>
      <c r="B26" s="23">
        <v>4062495</v>
      </c>
      <c r="C26" s="23">
        <f t="shared" ref="C26:L26" si="23">$B$26*C$2</f>
        <v>4468744.5</v>
      </c>
      <c r="D26" s="23">
        <f t="shared" si="23"/>
        <v>4915618.95</v>
      </c>
      <c r="E26" s="23">
        <f t="shared" si="23"/>
        <v>5407180.8449999997</v>
      </c>
      <c r="F26" s="23">
        <f t="shared" si="23"/>
        <v>5947898.9294999996</v>
      </c>
      <c r="G26" s="23">
        <f t="shared" si="23"/>
        <v>6542688.8224500008</v>
      </c>
      <c r="H26" s="23">
        <f t="shared" si="23"/>
        <v>7196957.7046949994</v>
      </c>
      <c r="I26" s="23">
        <f t="shared" si="23"/>
        <v>7916653.0689150002</v>
      </c>
      <c r="J26" s="23">
        <f t="shared" si="23"/>
        <v>8708315.5320599992</v>
      </c>
      <c r="K26" s="23">
        <f t="shared" si="23"/>
        <v>9579143.8352700006</v>
      </c>
      <c r="L26" s="23">
        <f t="shared" si="23"/>
        <v>10153889.37789</v>
      </c>
      <c r="M26" s="23">
        <v>209217</v>
      </c>
      <c r="N26" s="49">
        <f>ROUND(M26+L26,0)</f>
        <v>10363106</v>
      </c>
      <c r="O26" s="18"/>
      <c r="P26" s="18"/>
      <c r="Q26" s="18"/>
      <c r="R26" s="31"/>
      <c r="S26" s="29"/>
      <c r="T26" s="31"/>
      <c r="U26" s="31"/>
    </row>
    <row r="27" spans="1:21" x14ac:dyDescent="0.2">
      <c r="A27" s="25">
        <v>16</v>
      </c>
      <c r="B27" s="23"/>
      <c r="C27" s="23">
        <f t="shared" ref="C27:L27" si="24">+C26-$B$26</f>
        <v>406249.5</v>
      </c>
      <c r="D27" s="23">
        <f t="shared" si="24"/>
        <v>853123.95000000019</v>
      </c>
      <c r="E27" s="23">
        <f t="shared" si="24"/>
        <v>1344685.8449999997</v>
      </c>
      <c r="F27" s="23">
        <f t="shared" si="24"/>
        <v>1885403.9294999996</v>
      </c>
      <c r="G27" s="23">
        <f t="shared" si="24"/>
        <v>2480193.8224500008</v>
      </c>
      <c r="H27" s="23">
        <f t="shared" si="24"/>
        <v>3134462.7046949994</v>
      </c>
      <c r="I27" s="23">
        <f t="shared" si="24"/>
        <v>3854158.0689150002</v>
      </c>
      <c r="J27" s="23">
        <f t="shared" si="24"/>
        <v>4645820.5320599992</v>
      </c>
      <c r="K27" s="23">
        <f t="shared" si="24"/>
        <v>5516648.8352700006</v>
      </c>
      <c r="L27" s="23">
        <f t="shared" si="24"/>
        <v>6091394.3778900001</v>
      </c>
      <c r="M27" s="24"/>
      <c r="N27" s="48"/>
      <c r="O27" s="18"/>
      <c r="P27" s="18"/>
      <c r="Q27" s="18"/>
      <c r="R27" s="193" t="s">
        <v>183</v>
      </c>
      <c r="S27" s="193"/>
      <c r="T27" s="193"/>
      <c r="U27" s="193"/>
    </row>
    <row r="28" spans="1:21" x14ac:dyDescent="0.2">
      <c r="A28" s="25" t="s">
        <v>106</v>
      </c>
      <c r="B28" s="23">
        <v>4732959</v>
      </c>
      <c r="C28" s="23">
        <f t="shared" ref="C28:L28" si="25">$B$28*C$2</f>
        <v>5206254.9000000004</v>
      </c>
      <c r="D28" s="23">
        <f t="shared" si="25"/>
        <v>5726880.3899999997</v>
      </c>
      <c r="E28" s="23">
        <f t="shared" si="25"/>
        <v>6299568.4289999995</v>
      </c>
      <c r="F28" s="23">
        <f t="shared" si="25"/>
        <v>6929525.2719000001</v>
      </c>
      <c r="G28" s="23">
        <f t="shared" si="25"/>
        <v>7622477.7990900008</v>
      </c>
      <c r="H28" s="23">
        <f t="shared" si="25"/>
        <v>8384725.5789989997</v>
      </c>
      <c r="I28" s="23">
        <f t="shared" si="25"/>
        <v>9223197.6636030003</v>
      </c>
      <c r="J28" s="23">
        <f t="shared" si="25"/>
        <v>10145514.116891999</v>
      </c>
      <c r="K28" s="23">
        <f t="shared" si="25"/>
        <v>11160061.742214</v>
      </c>
      <c r="L28" s="23">
        <f t="shared" si="25"/>
        <v>11829661.849698</v>
      </c>
      <c r="M28" s="23">
        <v>243746</v>
      </c>
      <c r="N28" s="49">
        <f>ROUND(M28+L28,0)</f>
        <v>12073408</v>
      </c>
      <c r="O28" s="18"/>
      <c r="P28" s="18"/>
      <c r="Q28" s="18"/>
      <c r="R28" s="28" t="s">
        <v>138</v>
      </c>
      <c r="S28" s="29">
        <v>0.04</v>
      </c>
      <c r="T28" s="28"/>
      <c r="U28" s="28"/>
    </row>
    <row r="29" spans="1:21" x14ac:dyDescent="0.2">
      <c r="A29" s="25">
        <v>17</v>
      </c>
      <c r="B29" s="23"/>
      <c r="C29" s="23">
        <f t="shared" ref="C29:L29" si="26">+C28-$B$28</f>
        <v>473295.90000000037</v>
      </c>
      <c r="D29" s="23">
        <f t="shared" si="26"/>
        <v>993921.38999999966</v>
      </c>
      <c r="E29" s="23">
        <f t="shared" si="26"/>
        <v>1566609.4289999995</v>
      </c>
      <c r="F29" s="23">
        <f t="shared" si="26"/>
        <v>2196566.2719000001</v>
      </c>
      <c r="G29" s="23">
        <f t="shared" si="26"/>
        <v>2889518.7990900008</v>
      </c>
      <c r="H29" s="23">
        <f t="shared" si="26"/>
        <v>3651766.5789989997</v>
      </c>
      <c r="I29" s="23">
        <f t="shared" si="26"/>
        <v>4490238.6636030003</v>
      </c>
      <c r="J29" s="23">
        <f t="shared" si="26"/>
        <v>5412555.1168919988</v>
      </c>
      <c r="K29" s="23">
        <f t="shared" si="26"/>
        <v>6427102.7422139999</v>
      </c>
      <c r="L29" s="23">
        <f t="shared" si="26"/>
        <v>7096702.8496979997</v>
      </c>
      <c r="M29" s="24"/>
      <c r="N29" s="48"/>
      <c r="O29" s="18"/>
      <c r="P29" s="18"/>
      <c r="Q29" s="18"/>
      <c r="R29" s="31" t="s">
        <v>135</v>
      </c>
      <c r="S29" s="29">
        <v>0.01</v>
      </c>
      <c r="T29" s="31"/>
      <c r="U29" s="31"/>
    </row>
    <row r="30" spans="1:21" x14ac:dyDescent="0.2">
      <c r="A30" s="20" t="s">
        <v>107</v>
      </c>
      <c r="B30" s="22">
        <v>4903271</v>
      </c>
      <c r="C30" s="23">
        <f t="shared" ref="C30:L30" si="27">$B$30*C$2</f>
        <v>5393598.1000000006</v>
      </c>
      <c r="D30" s="23">
        <f t="shared" si="27"/>
        <v>5932957.9100000001</v>
      </c>
      <c r="E30" s="23">
        <f t="shared" si="27"/>
        <v>6526253.7009999994</v>
      </c>
      <c r="F30" s="23">
        <f t="shared" si="27"/>
        <v>7178879.0710999994</v>
      </c>
      <c r="G30" s="23">
        <f t="shared" si="27"/>
        <v>7896766.9782100003</v>
      </c>
      <c r="H30" s="23">
        <f t="shared" si="27"/>
        <v>8686443.676030999</v>
      </c>
      <c r="I30" s="23">
        <f t="shared" si="27"/>
        <v>9555087.5533070005</v>
      </c>
      <c r="J30" s="23">
        <f t="shared" si="27"/>
        <v>10510592.876348</v>
      </c>
      <c r="K30" s="23">
        <f t="shared" si="27"/>
        <v>11561648.241366001</v>
      </c>
      <c r="L30" s="23">
        <f t="shared" si="27"/>
        <v>12255343.409361999</v>
      </c>
      <c r="M30" s="23">
        <v>252517</v>
      </c>
      <c r="N30" s="49">
        <f>ROUND(M30+L30,0)</f>
        <v>12507860</v>
      </c>
      <c r="O30" s="18"/>
      <c r="P30" s="18"/>
      <c r="Q30" s="18"/>
      <c r="R30" s="31" t="s">
        <v>132</v>
      </c>
      <c r="S30" s="35" t="s">
        <v>181</v>
      </c>
      <c r="T30" s="31"/>
      <c r="U30" s="31"/>
    </row>
    <row r="31" spans="1:21" x14ac:dyDescent="0.2">
      <c r="A31" s="25">
        <v>18</v>
      </c>
      <c r="B31" s="23"/>
      <c r="C31" s="23">
        <f t="shared" ref="C31:L31" si="28">+C30-$B$30</f>
        <v>490327.10000000056</v>
      </c>
      <c r="D31" s="23">
        <f t="shared" si="28"/>
        <v>1029686.9100000001</v>
      </c>
      <c r="E31" s="23">
        <f t="shared" si="28"/>
        <v>1622982.7009999994</v>
      </c>
      <c r="F31" s="23">
        <f t="shared" si="28"/>
        <v>2275608.0710999994</v>
      </c>
      <c r="G31" s="23">
        <f t="shared" si="28"/>
        <v>2993495.9782100003</v>
      </c>
      <c r="H31" s="23">
        <f t="shared" si="28"/>
        <v>3783172.676030999</v>
      </c>
      <c r="I31" s="23">
        <f t="shared" si="28"/>
        <v>4651816.5533070005</v>
      </c>
      <c r="J31" s="23">
        <f t="shared" si="28"/>
        <v>5607321.876348</v>
      </c>
      <c r="K31" s="23">
        <f t="shared" si="28"/>
        <v>6658377.2413660008</v>
      </c>
      <c r="L31" s="23">
        <f t="shared" si="28"/>
        <v>7352072.4093619995</v>
      </c>
      <c r="M31" s="24"/>
      <c r="N31" s="48"/>
      <c r="O31" s="18"/>
      <c r="P31" s="18"/>
      <c r="Q31" s="18"/>
      <c r="R31" s="31" t="s">
        <v>129</v>
      </c>
      <c r="S31" s="29">
        <v>0.03</v>
      </c>
      <c r="T31" s="31"/>
      <c r="U31" s="31"/>
    </row>
    <row r="32" spans="1:21" x14ac:dyDescent="0.2">
      <c r="A32" s="25" t="s">
        <v>109</v>
      </c>
      <c r="B32" s="23">
        <v>5241510</v>
      </c>
      <c r="C32" s="23">
        <f t="shared" ref="C32:L32" si="29">$B$32*C$2</f>
        <v>5765661</v>
      </c>
      <c r="D32" s="23">
        <f t="shared" si="29"/>
        <v>6342227.0999999996</v>
      </c>
      <c r="E32" s="23">
        <f t="shared" si="29"/>
        <v>6976449.8099999996</v>
      </c>
      <c r="F32" s="23">
        <f t="shared" si="29"/>
        <v>7674094.7910000002</v>
      </c>
      <c r="G32" s="23">
        <f t="shared" si="29"/>
        <v>8441504.2701000012</v>
      </c>
      <c r="H32" s="23">
        <f t="shared" si="29"/>
        <v>9285654.6971099991</v>
      </c>
      <c r="I32" s="23">
        <f t="shared" si="29"/>
        <v>10214219.64267</v>
      </c>
      <c r="J32" s="23">
        <f t="shared" si="29"/>
        <v>11235637.937879998</v>
      </c>
      <c r="K32" s="23">
        <f t="shared" si="29"/>
        <v>12359197.538460001</v>
      </c>
      <c r="L32" s="23">
        <f t="shared" si="29"/>
        <v>13100745.40722</v>
      </c>
      <c r="M32" s="23">
        <v>269937</v>
      </c>
      <c r="N32" s="49">
        <f>ROUND(M32+L32,0)</f>
        <v>13370682</v>
      </c>
      <c r="O32" s="18"/>
      <c r="P32" s="18"/>
      <c r="Q32" s="18"/>
      <c r="R32" s="31" t="s">
        <v>135</v>
      </c>
      <c r="S32" s="29">
        <v>0.01</v>
      </c>
      <c r="T32" s="31"/>
      <c r="U32" s="31"/>
    </row>
    <row r="33" spans="1:21" x14ac:dyDescent="0.2">
      <c r="A33" s="25">
        <v>19</v>
      </c>
      <c r="B33" s="23"/>
      <c r="C33" s="23">
        <f t="shared" ref="C33:L33" si="30">+C32-$B$32</f>
        <v>524151</v>
      </c>
      <c r="D33" s="23">
        <f t="shared" si="30"/>
        <v>1100717.0999999996</v>
      </c>
      <c r="E33" s="23">
        <f t="shared" si="30"/>
        <v>1734939.8099999996</v>
      </c>
      <c r="F33" s="23">
        <f t="shared" si="30"/>
        <v>2432584.7910000002</v>
      </c>
      <c r="G33" s="23">
        <f t="shared" si="30"/>
        <v>3199994.2701000012</v>
      </c>
      <c r="H33" s="23">
        <f t="shared" si="30"/>
        <v>4044144.6971099991</v>
      </c>
      <c r="I33" s="23">
        <f t="shared" si="30"/>
        <v>4972709.64267</v>
      </c>
      <c r="J33" s="23">
        <f t="shared" si="30"/>
        <v>5994127.9378799982</v>
      </c>
      <c r="K33" s="23">
        <f t="shared" si="30"/>
        <v>7117687.5384600013</v>
      </c>
      <c r="L33" s="23">
        <f t="shared" si="30"/>
        <v>7859235.4072200004</v>
      </c>
      <c r="M33" s="24"/>
      <c r="N33" s="48"/>
      <c r="O33" s="18"/>
      <c r="P33" s="18"/>
      <c r="Q33" s="18"/>
      <c r="R33" s="31" t="s">
        <v>132</v>
      </c>
      <c r="S33" s="35" t="s">
        <v>181</v>
      </c>
      <c r="T33" s="31" t="s">
        <v>169</v>
      </c>
      <c r="U33" s="31" t="s">
        <v>119</v>
      </c>
    </row>
    <row r="34" spans="1:21" x14ac:dyDescent="0.2">
      <c r="A34" s="25" t="s">
        <v>110</v>
      </c>
      <c r="B34" s="23">
        <v>6047801</v>
      </c>
      <c r="C34" s="23">
        <f t="shared" ref="C34:L34" si="31">$B$34*C$2</f>
        <v>6652581.1000000006</v>
      </c>
      <c r="D34" s="23">
        <f t="shared" si="31"/>
        <v>7317839.21</v>
      </c>
      <c r="E34" s="23">
        <f t="shared" si="31"/>
        <v>8049623.1310000001</v>
      </c>
      <c r="F34" s="23">
        <f t="shared" si="31"/>
        <v>8854585.4441</v>
      </c>
      <c r="G34" s="23">
        <f t="shared" si="31"/>
        <v>9740043.9885100015</v>
      </c>
      <c r="H34" s="23">
        <f t="shared" si="31"/>
        <v>10714048.387360999</v>
      </c>
      <c r="I34" s="23">
        <f t="shared" si="31"/>
        <v>11785452.621317001</v>
      </c>
      <c r="J34" s="23">
        <f t="shared" si="31"/>
        <v>12963993.649987999</v>
      </c>
      <c r="K34" s="23">
        <f t="shared" si="31"/>
        <v>14260388.176746001</v>
      </c>
      <c r="L34" s="23">
        <f t="shared" si="31"/>
        <v>15116006.871022001</v>
      </c>
      <c r="M34" s="23">
        <v>0</v>
      </c>
      <c r="N34" s="49">
        <f>ROUND(M34+L34,0)</f>
        <v>15116007</v>
      </c>
      <c r="O34" s="18"/>
      <c r="P34" s="18"/>
      <c r="Q34" s="18"/>
      <c r="R34" s="31" t="s">
        <v>129</v>
      </c>
      <c r="S34" s="29">
        <v>0.03</v>
      </c>
      <c r="T34" s="31"/>
      <c r="U34" s="31"/>
    </row>
    <row r="35" spans="1:21" x14ac:dyDescent="0.2">
      <c r="A35" s="25">
        <v>21</v>
      </c>
      <c r="B35" s="23"/>
      <c r="C35" s="23">
        <f t="shared" ref="C35:L35" si="32">+C34-$B$34</f>
        <v>604780.10000000056</v>
      </c>
      <c r="D35" s="23">
        <f t="shared" si="32"/>
        <v>1270038.21</v>
      </c>
      <c r="E35" s="23">
        <f t="shared" si="32"/>
        <v>2001822.1310000001</v>
      </c>
      <c r="F35" s="23">
        <f t="shared" si="32"/>
        <v>2806784.4441</v>
      </c>
      <c r="G35" s="23">
        <f t="shared" si="32"/>
        <v>3692242.9885100015</v>
      </c>
      <c r="H35" s="23">
        <f t="shared" si="32"/>
        <v>4666247.3873609994</v>
      </c>
      <c r="I35" s="23">
        <f t="shared" si="32"/>
        <v>5737651.6213170011</v>
      </c>
      <c r="J35" s="23">
        <f t="shared" si="32"/>
        <v>6916192.6499879993</v>
      </c>
      <c r="K35" s="23">
        <f t="shared" si="32"/>
        <v>8212587.1767460015</v>
      </c>
      <c r="L35" s="23">
        <f t="shared" si="32"/>
        <v>9068205.8710220009</v>
      </c>
      <c r="M35" s="24"/>
      <c r="N35" s="48"/>
      <c r="O35" s="18"/>
      <c r="P35" s="18"/>
      <c r="Q35" s="18"/>
      <c r="R35" s="28" t="s">
        <v>126</v>
      </c>
      <c r="S35" s="32" t="s">
        <v>175</v>
      </c>
      <c r="T35" s="31"/>
      <c r="U35" s="31"/>
    </row>
    <row r="36" spans="1:21" s="43" customFormat="1" x14ac:dyDescent="0.2">
      <c r="A36" s="37">
        <v>21</v>
      </c>
      <c r="B36" s="38">
        <v>5458014</v>
      </c>
      <c r="C36" s="38">
        <f t="shared" ref="C36:L36" si="33">$B$36*C$2</f>
        <v>6003815.4000000004</v>
      </c>
      <c r="D36" s="38">
        <f t="shared" si="33"/>
        <v>6604196.9399999995</v>
      </c>
      <c r="E36" s="38">
        <f t="shared" si="33"/>
        <v>7264616.6339999996</v>
      </c>
      <c r="F36" s="38">
        <f t="shared" si="33"/>
        <v>7991078.2973999996</v>
      </c>
      <c r="G36" s="38">
        <f t="shared" si="33"/>
        <v>8790186.1271400005</v>
      </c>
      <c r="H36" s="38">
        <f t="shared" si="33"/>
        <v>9669204.7398540005</v>
      </c>
      <c r="I36" s="38">
        <f t="shared" si="33"/>
        <v>10636124.668037999</v>
      </c>
      <c r="J36" s="38">
        <f t="shared" si="33"/>
        <v>11699733.314231999</v>
      </c>
      <c r="K36" s="38">
        <f t="shared" si="33"/>
        <v>12869702.279244</v>
      </c>
      <c r="L36" s="38">
        <f t="shared" si="33"/>
        <v>13641880.267907999</v>
      </c>
      <c r="M36" s="38">
        <v>0</v>
      </c>
      <c r="N36" s="50">
        <f>ROUND(M36+L36,0)</f>
        <v>13641880</v>
      </c>
      <c r="O36" s="39"/>
      <c r="P36" s="39"/>
      <c r="Q36" s="39"/>
      <c r="R36" s="40" t="s">
        <v>123</v>
      </c>
      <c r="S36" s="41" t="s">
        <v>168</v>
      </c>
      <c r="T36" s="42" t="s">
        <v>166</v>
      </c>
      <c r="U36" s="42" t="s">
        <v>167</v>
      </c>
    </row>
    <row r="37" spans="1:21" s="43" customFormat="1" x14ac:dyDescent="0.2">
      <c r="A37" s="37"/>
      <c r="B37" s="38"/>
      <c r="C37" s="38">
        <f t="shared" ref="C37:L37" si="34">+C36-$B$36</f>
        <v>545801.40000000037</v>
      </c>
      <c r="D37" s="38">
        <f t="shared" si="34"/>
        <v>1146182.9399999995</v>
      </c>
      <c r="E37" s="38">
        <f t="shared" si="34"/>
        <v>1806602.6339999996</v>
      </c>
      <c r="F37" s="38">
        <f t="shared" si="34"/>
        <v>2533064.2973999996</v>
      </c>
      <c r="G37" s="38">
        <f t="shared" si="34"/>
        <v>3332172.1271400005</v>
      </c>
      <c r="H37" s="38">
        <f t="shared" si="34"/>
        <v>4211190.7398540005</v>
      </c>
      <c r="I37" s="38">
        <f t="shared" si="34"/>
        <v>5178110.6680379994</v>
      </c>
      <c r="J37" s="38">
        <f t="shared" si="34"/>
        <v>6241719.3142319992</v>
      </c>
      <c r="K37" s="38">
        <f t="shared" si="34"/>
        <v>7411688.2792440001</v>
      </c>
      <c r="L37" s="38">
        <f t="shared" si="34"/>
        <v>8183866.2679079995</v>
      </c>
      <c r="M37" s="44"/>
      <c r="N37" s="51"/>
      <c r="O37" s="39"/>
      <c r="P37" s="39"/>
      <c r="Q37" s="39"/>
      <c r="R37" s="194" t="s">
        <v>164</v>
      </c>
      <c r="S37" s="194"/>
      <c r="T37" s="194"/>
      <c r="U37" s="194"/>
    </row>
    <row r="38" spans="1:21" x14ac:dyDescent="0.2">
      <c r="A38" s="25" t="s">
        <v>111</v>
      </c>
      <c r="B38" s="23">
        <v>6547241</v>
      </c>
      <c r="C38" s="23">
        <f t="shared" ref="C38:L38" si="35">$B$38*C$2</f>
        <v>7201965.1000000006</v>
      </c>
      <c r="D38" s="23">
        <f t="shared" si="35"/>
        <v>7922161.6099999994</v>
      </c>
      <c r="E38" s="23">
        <f t="shared" si="35"/>
        <v>8714377.7709999997</v>
      </c>
      <c r="F38" s="23">
        <f t="shared" si="35"/>
        <v>9585815.5481000002</v>
      </c>
      <c r="G38" s="23">
        <f t="shared" si="35"/>
        <v>10544397.102910001</v>
      </c>
      <c r="H38" s="23">
        <f t="shared" si="35"/>
        <v>11598836.813200999</v>
      </c>
      <c r="I38" s="23">
        <f t="shared" si="35"/>
        <v>12758719.839796999</v>
      </c>
      <c r="J38" s="23">
        <f t="shared" si="35"/>
        <v>14034587.240707999</v>
      </c>
      <c r="K38" s="23">
        <f t="shared" si="35"/>
        <v>15438040.726986</v>
      </c>
      <c r="L38" s="23">
        <f t="shared" si="35"/>
        <v>16364318.194701999</v>
      </c>
      <c r="M38" s="23">
        <v>0</v>
      </c>
      <c r="N38" s="49">
        <f>ROUND(M38+L38,0)</f>
        <v>16364318</v>
      </c>
      <c r="O38" s="45" t="s">
        <v>119</v>
      </c>
      <c r="P38" s="18"/>
      <c r="Q38" s="18"/>
      <c r="R38" s="192" t="s">
        <v>230</v>
      </c>
      <c r="S38" s="192"/>
      <c r="T38" s="192"/>
      <c r="U38" s="192"/>
    </row>
    <row r="39" spans="1:21" x14ac:dyDescent="0.2">
      <c r="A39" s="25">
        <v>22</v>
      </c>
      <c r="B39" s="23" t="s">
        <v>119</v>
      </c>
      <c r="C39" s="23">
        <f t="shared" ref="C39:L39" si="36">+C38-$B$38</f>
        <v>654724.10000000056</v>
      </c>
      <c r="D39" s="23">
        <f t="shared" si="36"/>
        <v>1374920.6099999994</v>
      </c>
      <c r="E39" s="23">
        <f t="shared" si="36"/>
        <v>2167136.7709999997</v>
      </c>
      <c r="F39" s="23">
        <f t="shared" si="36"/>
        <v>3038574.5481000002</v>
      </c>
      <c r="G39" s="23">
        <f t="shared" si="36"/>
        <v>3997156.1029100008</v>
      </c>
      <c r="H39" s="23">
        <f t="shared" si="36"/>
        <v>5051595.8132009991</v>
      </c>
      <c r="I39" s="23">
        <f t="shared" si="36"/>
        <v>6211478.8397969995</v>
      </c>
      <c r="J39" s="23">
        <f t="shared" si="36"/>
        <v>7487346.2407079991</v>
      </c>
      <c r="K39" s="23">
        <f t="shared" si="36"/>
        <v>8890799.7269860003</v>
      </c>
      <c r="L39" s="23">
        <f t="shared" si="36"/>
        <v>9817077.1947019994</v>
      </c>
      <c r="M39" s="23"/>
      <c r="N39" s="48"/>
      <c r="O39" s="46"/>
      <c r="P39" s="18"/>
      <c r="Q39" s="18"/>
    </row>
    <row r="40" spans="1:21" x14ac:dyDescent="0.2">
      <c r="B40" s="18"/>
    </row>
    <row r="41" spans="1:21" x14ac:dyDescent="0.2">
      <c r="L41" s="18" t="s">
        <v>119</v>
      </c>
    </row>
    <row r="42" spans="1:21" x14ac:dyDescent="0.2">
      <c r="L42" s="18" t="s">
        <v>119</v>
      </c>
    </row>
    <row r="43" spans="1:21" x14ac:dyDescent="0.2">
      <c r="C43" s="18" t="s">
        <v>119</v>
      </c>
    </row>
    <row r="44" spans="1:21" x14ac:dyDescent="0.2">
      <c r="C44" s="18" t="s">
        <v>119</v>
      </c>
    </row>
    <row r="46" spans="1:21" x14ac:dyDescent="0.2">
      <c r="C46" s="18" t="s">
        <v>119</v>
      </c>
    </row>
  </sheetData>
  <autoFilter ref="A3:V39" xr:uid="{D89C0CE4-46C6-4A07-B199-0E373E318CDF}"/>
  <mergeCells count="11">
    <mergeCell ref="R38:U38"/>
    <mergeCell ref="R2:U2"/>
    <mergeCell ref="R5:U5"/>
    <mergeCell ref="R9:U9"/>
    <mergeCell ref="R12:U12"/>
    <mergeCell ref="R15:U15"/>
    <mergeCell ref="R18:U18"/>
    <mergeCell ref="R21:U21"/>
    <mergeCell ref="R24:U24"/>
    <mergeCell ref="R27:U27"/>
    <mergeCell ref="R37:U37"/>
  </mergeCells>
  <pageMargins left="0.70866141732283472" right="0.70866141732283472" top="0.74803149606299213" bottom="0.74803149606299213" header="0.31496062992125984" footer="0.31496062992125984"/>
  <pageSetup scale="70" fitToWidth="0" fitToHeight="0" orientation="landscape" r:id="rId1"/>
  <headerFooter>
    <oddHeader>&amp;CDecreto No 0907 del 02-06-2023 Reajuste del 14,62%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DB2ED-AFE2-4DE3-8814-75EC3B77017F}">
  <dimension ref="A1:AD60"/>
  <sheetViews>
    <sheetView showGridLines="0" topLeftCell="H16" zoomScale="145" zoomScaleNormal="145" workbookViewId="0">
      <selection activeCell="U40" sqref="U40"/>
    </sheetView>
  </sheetViews>
  <sheetFormatPr baseColWidth="10" defaultRowHeight="12.75" x14ac:dyDescent="0.2"/>
  <cols>
    <col min="1" max="1" width="25.140625" style="16" customWidth="1"/>
    <col min="2" max="2" width="12.5703125" style="16" customWidth="1"/>
    <col min="3" max="3" width="14.140625" style="19" customWidth="1"/>
    <col min="4" max="4" width="13.28515625" style="19" bestFit="1" customWidth="1"/>
    <col min="5" max="5" width="15" style="19" customWidth="1"/>
    <col min="6" max="6" width="13" style="19" customWidth="1"/>
    <col min="7" max="7" width="14.42578125" style="19" customWidth="1"/>
    <col min="8" max="8" width="13" style="19" customWidth="1"/>
    <col min="9" max="11" width="14.42578125" style="19" customWidth="1"/>
    <col min="12" max="12" width="17.140625" style="102" bestFit="1" customWidth="1"/>
    <col min="13" max="13" width="3.7109375" style="19" customWidth="1"/>
    <col min="14" max="14" width="11.42578125" style="19" customWidth="1"/>
    <col min="15" max="15" width="9.5703125" style="19" bestFit="1" customWidth="1"/>
    <col min="16" max="17" width="13.28515625" style="16" bestFit="1" customWidth="1"/>
    <col min="18" max="18" width="14.42578125" style="16" bestFit="1" customWidth="1"/>
    <col min="19" max="19" width="12.28515625" style="16" bestFit="1" customWidth="1"/>
    <col min="20" max="20" width="10.7109375" style="16" bestFit="1" customWidth="1"/>
    <col min="21" max="21" width="13.28515625" style="16" bestFit="1" customWidth="1"/>
    <col min="22" max="22" width="11.140625" style="16" hidden="1" customWidth="1"/>
    <col min="23" max="23" width="7.42578125" style="16" hidden="1" customWidth="1"/>
    <col min="24" max="24" width="6.5703125" style="16" hidden="1" customWidth="1"/>
    <col min="25" max="25" width="5.7109375" style="16" hidden="1" customWidth="1"/>
    <col min="26" max="27" width="11.42578125" style="16" hidden="1" customWidth="1"/>
    <col min="28" max="28" width="0" style="16" hidden="1" customWidth="1"/>
    <col min="29" max="29" width="15.85546875" style="16" customWidth="1"/>
    <col min="30" max="16384" width="11.42578125" style="16"/>
  </cols>
  <sheetData>
    <row r="1" spans="1:30" ht="77.25" thickBot="1" x14ac:dyDescent="0.25">
      <c r="A1" s="135" t="s">
        <v>248</v>
      </c>
      <c r="B1" s="135" t="s">
        <v>2</v>
      </c>
      <c r="C1" s="136" t="s">
        <v>249</v>
      </c>
      <c r="D1" s="136" t="s">
        <v>250</v>
      </c>
      <c r="E1" s="136" t="s">
        <v>229</v>
      </c>
      <c r="F1" s="136" t="s">
        <v>251</v>
      </c>
      <c r="G1" s="136" t="s">
        <v>252</v>
      </c>
      <c r="H1" s="136" t="s">
        <v>228</v>
      </c>
      <c r="I1" s="136" t="s">
        <v>71</v>
      </c>
      <c r="J1" s="136" t="s">
        <v>72</v>
      </c>
      <c r="K1" s="136" t="s">
        <v>73</v>
      </c>
      <c r="L1" s="137" t="s">
        <v>120</v>
      </c>
      <c r="M1" s="53"/>
      <c r="N1" s="53"/>
      <c r="O1" s="131" t="s">
        <v>242</v>
      </c>
      <c r="P1" s="132" t="s">
        <v>243</v>
      </c>
      <c r="Q1" s="133" t="s">
        <v>227</v>
      </c>
      <c r="R1" s="133" t="s">
        <v>241</v>
      </c>
      <c r="S1" s="134" t="s">
        <v>226</v>
      </c>
      <c r="T1" s="134" t="s">
        <v>225</v>
      </c>
      <c r="U1" s="84" t="s">
        <v>120</v>
      </c>
      <c r="V1" s="83" t="s">
        <v>189</v>
      </c>
      <c r="W1" s="54">
        <v>0.12</v>
      </c>
      <c r="X1" s="55" t="s">
        <v>137</v>
      </c>
      <c r="Y1" s="56" t="s">
        <v>224</v>
      </c>
    </row>
    <row r="2" spans="1:30" x14ac:dyDescent="0.2">
      <c r="A2" s="162" t="s">
        <v>223</v>
      </c>
      <c r="B2" s="163" t="s">
        <v>14</v>
      </c>
      <c r="C2" s="164">
        <v>7977945</v>
      </c>
      <c r="D2" s="164">
        <v>14183014</v>
      </c>
      <c r="E2" s="164">
        <f t="shared" ref="E2:E18" si="0">+D2+C2</f>
        <v>22160959</v>
      </c>
      <c r="F2" s="164">
        <v>0</v>
      </c>
      <c r="G2" s="164">
        <v>0</v>
      </c>
      <c r="H2" s="164"/>
      <c r="I2" s="165">
        <v>41167101</v>
      </c>
      <c r="J2" s="165"/>
      <c r="K2" s="165"/>
      <c r="L2" s="138">
        <f>+SUM(C2:K2)-E2</f>
        <v>63328060</v>
      </c>
      <c r="M2" s="53"/>
      <c r="N2" s="53"/>
      <c r="O2" s="172">
        <v>3</v>
      </c>
      <c r="P2" s="175">
        <v>2550033</v>
      </c>
      <c r="Q2" s="171">
        <v>131325</v>
      </c>
      <c r="R2" s="176">
        <v>0</v>
      </c>
      <c r="S2" s="177">
        <v>249095</v>
      </c>
      <c r="T2" s="178">
        <v>105857</v>
      </c>
      <c r="U2" s="85">
        <f>+P2+Q2+S2+T2+R2</f>
        <v>3036310</v>
      </c>
      <c r="V2" s="212" t="s">
        <v>222</v>
      </c>
      <c r="W2" s="212"/>
      <c r="X2" s="212"/>
      <c r="Y2" s="213"/>
      <c r="AA2" s="58">
        <f>+'Escala Salarial PGN 2026'!Q11-L2</f>
        <v>0</v>
      </c>
      <c r="AB2" s="58"/>
      <c r="AC2" s="58"/>
      <c r="AD2" s="58"/>
    </row>
    <row r="3" spans="1:30" x14ac:dyDescent="0.2">
      <c r="A3" s="162" t="s">
        <v>221</v>
      </c>
      <c r="B3" s="163" t="s">
        <v>16</v>
      </c>
      <c r="C3" s="164">
        <f>+C2</f>
        <v>7977945</v>
      </c>
      <c r="D3" s="164">
        <f>+D2</f>
        <v>14183014</v>
      </c>
      <c r="E3" s="164">
        <f t="shared" si="0"/>
        <v>22160959</v>
      </c>
      <c r="F3" s="164">
        <v>0</v>
      </c>
      <c r="G3" s="164">
        <v>0</v>
      </c>
      <c r="H3" s="164"/>
      <c r="I3" s="164">
        <f>+I2</f>
        <v>41167101</v>
      </c>
      <c r="J3" s="164"/>
      <c r="K3" s="164"/>
      <c r="L3" s="138">
        <f t="shared" ref="L3:L18" si="1">+SUM(C3:K3)-E3</f>
        <v>63328060</v>
      </c>
      <c r="M3" s="53"/>
      <c r="N3" s="53"/>
      <c r="O3" s="172">
        <v>4</v>
      </c>
      <c r="P3" s="171">
        <v>3338889</v>
      </c>
      <c r="Q3" s="171">
        <v>171950</v>
      </c>
      <c r="R3" s="179">
        <v>0</v>
      </c>
      <c r="S3" s="177">
        <v>249095</v>
      </c>
      <c r="T3" s="179">
        <v>0</v>
      </c>
      <c r="U3" s="85">
        <f t="shared" ref="U3:U39" si="2">+P3+Q3+S3+T3+R3</f>
        <v>3759934</v>
      </c>
      <c r="V3" s="59" t="s">
        <v>214</v>
      </c>
      <c r="W3" s="60" t="s">
        <v>220</v>
      </c>
      <c r="X3" s="61">
        <v>0.04</v>
      </c>
      <c r="Y3" s="62" t="s">
        <v>192</v>
      </c>
      <c r="AA3" s="58">
        <f>+'Escala Salarial PGN 2026'!Q12-L3</f>
        <v>0</v>
      </c>
      <c r="AB3" s="58"/>
      <c r="AC3" s="58"/>
      <c r="AD3" s="58"/>
    </row>
    <row r="4" spans="1:30" x14ac:dyDescent="0.2">
      <c r="A4" s="162" t="s">
        <v>219</v>
      </c>
      <c r="B4" s="163" t="s">
        <v>18</v>
      </c>
      <c r="C4" s="164">
        <f>+C2</f>
        <v>7977945</v>
      </c>
      <c r="D4" s="164">
        <f>+D2</f>
        <v>14183014</v>
      </c>
      <c r="E4" s="164">
        <f t="shared" si="0"/>
        <v>22160959</v>
      </c>
      <c r="F4" s="164">
        <v>0</v>
      </c>
      <c r="G4" s="164">
        <v>0</v>
      </c>
      <c r="H4" s="164"/>
      <c r="I4" s="164">
        <f>+I2</f>
        <v>41167101</v>
      </c>
      <c r="J4" s="164"/>
      <c r="K4" s="164"/>
      <c r="L4" s="138">
        <f t="shared" si="1"/>
        <v>63328060</v>
      </c>
      <c r="M4" s="53"/>
      <c r="N4" s="53"/>
      <c r="O4" s="172">
        <v>6</v>
      </c>
      <c r="P4" s="171">
        <v>3698761</v>
      </c>
      <c r="Q4" s="171">
        <v>190485</v>
      </c>
      <c r="R4" s="87">
        <v>0</v>
      </c>
      <c r="S4" s="87">
        <v>0</v>
      </c>
      <c r="T4" s="87">
        <v>0</v>
      </c>
      <c r="U4" s="85">
        <f t="shared" si="2"/>
        <v>3889246</v>
      </c>
      <c r="V4" s="59" t="s">
        <v>189</v>
      </c>
      <c r="W4" s="63" t="s">
        <v>218</v>
      </c>
      <c r="X4" s="64" t="s">
        <v>211</v>
      </c>
      <c r="Y4" s="62" t="s">
        <v>210</v>
      </c>
      <c r="AA4" s="58">
        <f>+'Escala Salarial PGN 2026'!Q13-L4</f>
        <v>0</v>
      </c>
    </row>
    <row r="5" spans="1:30" x14ac:dyDescent="0.2">
      <c r="A5" s="162" t="s">
        <v>217</v>
      </c>
      <c r="B5" s="163" t="s">
        <v>20</v>
      </c>
      <c r="C5" s="164">
        <v>11126532</v>
      </c>
      <c r="D5" s="164">
        <v>11126520</v>
      </c>
      <c r="E5" s="164">
        <f t="shared" si="0"/>
        <v>22253052</v>
      </c>
      <c r="F5" s="164">
        <v>9769095</v>
      </c>
      <c r="G5" s="164">
        <v>0</v>
      </c>
      <c r="H5" s="164"/>
      <c r="I5" s="164"/>
      <c r="J5" s="164"/>
      <c r="K5" s="164">
        <v>5963821</v>
      </c>
      <c r="L5" s="138">
        <f t="shared" si="1"/>
        <v>37985968</v>
      </c>
      <c r="M5" s="53"/>
      <c r="N5" s="53"/>
      <c r="O5" s="172">
        <v>8</v>
      </c>
      <c r="P5" s="171">
        <v>4476394</v>
      </c>
      <c r="Q5" s="171">
        <v>230531</v>
      </c>
      <c r="R5" s="87">
        <v>0</v>
      </c>
      <c r="S5" s="87">
        <v>0</v>
      </c>
      <c r="T5" s="87">
        <v>0</v>
      </c>
      <c r="U5" s="85">
        <f t="shared" si="2"/>
        <v>4706925</v>
      </c>
      <c r="V5" s="197" t="s">
        <v>216</v>
      </c>
      <c r="W5" s="198"/>
      <c r="X5" s="198"/>
      <c r="Y5" s="198"/>
      <c r="AA5" s="58">
        <f>+'Escala Salarial PGN 2026'!Q14-L5</f>
        <v>0</v>
      </c>
    </row>
    <row r="6" spans="1:30" x14ac:dyDescent="0.2">
      <c r="A6" s="162" t="s">
        <v>215</v>
      </c>
      <c r="B6" s="163" t="s">
        <v>20</v>
      </c>
      <c r="C6" s="164">
        <f>+C5</f>
        <v>11126532</v>
      </c>
      <c r="D6" s="164">
        <f>+D5</f>
        <v>11126520</v>
      </c>
      <c r="E6" s="164">
        <f t="shared" si="0"/>
        <v>22253052</v>
      </c>
      <c r="F6" s="164">
        <f>+F5</f>
        <v>9769095</v>
      </c>
      <c r="G6" s="164">
        <v>0</v>
      </c>
      <c r="H6" s="164"/>
      <c r="I6" s="164"/>
      <c r="J6" s="164"/>
      <c r="K6" s="164">
        <f>+K5</f>
        <v>5963821</v>
      </c>
      <c r="L6" s="138">
        <f t="shared" si="1"/>
        <v>37985968</v>
      </c>
      <c r="M6" s="53"/>
      <c r="N6" s="53"/>
      <c r="O6" s="172">
        <v>9</v>
      </c>
      <c r="P6" s="171">
        <v>4885030</v>
      </c>
      <c r="Q6" s="171">
        <v>251575</v>
      </c>
      <c r="R6" s="87">
        <v>0</v>
      </c>
      <c r="S6" s="87">
        <v>0</v>
      </c>
      <c r="T6" s="87">
        <v>0</v>
      </c>
      <c r="U6" s="85">
        <f t="shared" si="2"/>
        <v>5136605</v>
      </c>
      <c r="V6" s="59" t="s">
        <v>214</v>
      </c>
      <c r="W6" s="60">
        <v>0.08</v>
      </c>
      <c r="X6" s="61">
        <v>0.04</v>
      </c>
      <c r="Y6" s="65">
        <v>0.12</v>
      </c>
      <c r="AA6" s="58">
        <f>+'Escala Salarial PGN 2026'!Q15-L6</f>
        <v>0</v>
      </c>
    </row>
    <row r="7" spans="1:30" x14ac:dyDescent="0.2">
      <c r="A7" s="162" t="s">
        <v>213</v>
      </c>
      <c r="B7" s="163" t="s">
        <v>22</v>
      </c>
      <c r="C7" s="164">
        <v>11126532</v>
      </c>
      <c r="D7" s="164">
        <v>11126520</v>
      </c>
      <c r="E7" s="164">
        <f t="shared" si="0"/>
        <v>22253052</v>
      </c>
      <c r="F7" s="164">
        <v>9769095</v>
      </c>
      <c r="G7" s="164">
        <v>0</v>
      </c>
      <c r="H7" s="164"/>
      <c r="I7" s="164"/>
      <c r="J7" s="164"/>
      <c r="K7" s="164">
        <v>5963821</v>
      </c>
      <c r="L7" s="138">
        <f t="shared" si="1"/>
        <v>37985968</v>
      </c>
      <c r="M7" s="53"/>
      <c r="N7" s="53"/>
      <c r="O7" s="172">
        <v>10</v>
      </c>
      <c r="P7" s="171">
        <v>5314113</v>
      </c>
      <c r="Q7" s="171">
        <v>273675</v>
      </c>
      <c r="R7" s="87">
        <v>0</v>
      </c>
      <c r="S7" s="87">
        <v>0</v>
      </c>
      <c r="T7" s="87">
        <v>0</v>
      </c>
      <c r="U7" s="85">
        <f t="shared" si="2"/>
        <v>5587788</v>
      </c>
      <c r="V7" s="59" t="s">
        <v>189</v>
      </c>
      <c r="W7" s="63" t="s">
        <v>212</v>
      </c>
      <c r="X7" s="64" t="s">
        <v>211</v>
      </c>
      <c r="Y7" s="62" t="s">
        <v>210</v>
      </c>
      <c r="AA7" s="58">
        <f>+'Escala Salarial PGN 2026'!Q16-L7</f>
        <v>0</v>
      </c>
    </row>
    <row r="8" spans="1:30" x14ac:dyDescent="0.2">
      <c r="A8" s="162" t="s">
        <v>23</v>
      </c>
      <c r="B8" s="163" t="s">
        <v>24</v>
      </c>
      <c r="C8" s="164">
        <f>+C7</f>
        <v>11126532</v>
      </c>
      <c r="D8" s="164">
        <f>+D7</f>
        <v>11126520</v>
      </c>
      <c r="E8" s="164">
        <f t="shared" si="0"/>
        <v>22253052</v>
      </c>
      <c r="F8" s="164">
        <f>+F7</f>
        <v>9769095</v>
      </c>
      <c r="G8" s="164">
        <v>0</v>
      </c>
      <c r="H8" s="164"/>
      <c r="I8" s="164"/>
      <c r="J8" s="164"/>
      <c r="K8" s="164">
        <f>+K7</f>
        <v>5963821</v>
      </c>
      <c r="L8" s="138">
        <f t="shared" si="1"/>
        <v>37985968</v>
      </c>
      <c r="M8" s="53"/>
      <c r="N8" s="53"/>
      <c r="O8" s="172">
        <v>11</v>
      </c>
      <c r="P8" s="171">
        <v>5804471</v>
      </c>
      <c r="Q8" s="171">
        <v>298928</v>
      </c>
      <c r="R8" s="87">
        <v>0</v>
      </c>
      <c r="S8" s="87">
        <v>0</v>
      </c>
      <c r="T8" s="87">
        <v>0</v>
      </c>
      <c r="U8" s="85">
        <f t="shared" si="2"/>
        <v>6103399</v>
      </c>
      <c r="V8" s="197" t="s">
        <v>209</v>
      </c>
      <c r="W8" s="198"/>
      <c r="X8" s="198"/>
      <c r="Y8" s="198"/>
      <c r="AA8" s="58">
        <f>+'Escala Salarial PGN 2026'!Q17-L8</f>
        <v>0</v>
      </c>
    </row>
    <row r="9" spans="1:30" x14ac:dyDescent="0.2">
      <c r="A9" s="162" t="s">
        <v>25</v>
      </c>
      <c r="B9" s="163" t="s">
        <v>26</v>
      </c>
      <c r="C9" s="164">
        <f>+C8</f>
        <v>11126532</v>
      </c>
      <c r="D9" s="164">
        <f>+D8</f>
        <v>11126520</v>
      </c>
      <c r="E9" s="164">
        <f t="shared" si="0"/>
        <v>22253052</v>
      </c>
      <c r="F9" s="164">
        <f>+F8</f>
        <v>9769095</v>
      </c>
      <c r="G9" s="164">
        <v>0</v>
      </c>
      <c r="H9" s="164"/>
      <c r="I9" s="164"/>
      <c r="J9" s="164"/>
      <c r="K9" s="164">
        <f>+K8</f>
        <v>5963821</v>
      </c>
      <c r="L9" s="138">
        <f t="shared" si="1"/>
        <v>37985968</v>
      </c>
      <c r="M9" s="53"/>
      <c r="N9" s="53"/>
      <c r="O9" s="174" t="s">
        <v>246</v>
      </c>
      <c r="P9" s="171">
        <v>6814783</v>
      </c>
      <c r="Q9" s="171">
        <v>350960</v>
      </c>
      <c r="R9" s="87">
        <v>0</v>
      </c>
      <c r="S9" s="87">
        <v>0</v>
      </c>
      <c r="T9" s="87">
        <v>0</v>
      </c>
      <c r="U9" s="85">
        <f t="shared" si="2"/>
        <v>7165743</v>
      </c>
      <c r="V9" s="59" t="s">
        <v>189</v>
      </c>
      <c r="W9" s="63" t="s">
        <v>208</v>
      </c>
      <c r="X9" s="64" t="s">
        <v>207</v>
      </c>
      <c r="Y9" s="65">
        <v>0.15</v>
      </c>
      <c r="AA9" s="58">
        <f>+L9-'Escala Salarial PGN 2026'!Q17</f>
        <v>0</v>
      </c>
    </row>
    <row r="10" spans="1:30" x14ac:dyDescent="0.2">
      <c r="A10" s="162" t="s">
        <v>27</v>
      </c>
      <c r="B10" s="163" t="s">
        <v>28</v>
      </c>
      <c r="C10" s="164">
        <v>10865953</v>
      </c>
      <c r="D10" s="164">
        <v>8482259</v>
      </c>
      <c r="E10" s="164">
        <f t="shared" si="0"/>
        <v>19348212</v>
      </c>
      <c r="F10" s="164">
        <v>0</v>
      </c>
      <c r="G10" s="164">
        <v>0</v>
      </c>
      <c r="H10" s="164"/>
      <c r="I10" s="164"/>
      <c r="J10" s="164"/>
      <c r="K10" s="164">
        <v>2652328</v>
      </c>
      <c r="L10" s="138">
        <f t="shared" si="1"/>
        <v>22000540</v>
      </c>
      <c r="M10" s="53"/>
      <c r="N10" s="53"/>
      <c r="O10" s="172">
        <v>12</v>
      </c>
      <c r="P10" s="171">
        <v>6255327</v>
      </c>
      <c r="Q10" s="171">
        <v>322146</v>
      </c>
      <c r="R10" s="87">
        <v>0</v>
      </c>
      <c r="S10" s="87">
        <v>0</v>
      </c>
      <c r="T10" s="87">
        <v>0</v>
      </c>
      <c r="U10" s="85">
        <f t="shared" si="2"/>
        <v>6577473</v>
      </c>
      <c r="V10" s="197" t="s">
        <v>206</v>
      </c>
      <c r="W10" s="198"/>
      <c r="X10" s="198"/>
      <c r="Y10" s="198"/>
      <c r="Z10" s="16" t="s">
        <v>119</v>
      </c>
      <c r="AA10" s="58">
        <f>+L10-'Escala Salarial PGN 2026'!Q18</f>
        <v>0</v>
      </c>
    </row>
    <row r="11" spans="1:30" x14ac:dyDescent="0.2">
      <c r="A11" s="162" t="s">
        <v>205</v>
      </c>
      <c r="B11" s="163" t="s">
        <v>30</v>
      </c>
      <c r="C11" s="164">
        <v>8483475</v>
      </c>
      <c r="D11" s="164">
        <v>8483470</v>
      </c>
      <c r="E11" s="164">
        <f t="shared" si="0"/>
        <v>16966945</v>
      </c>
      <c r="F11" s="164">
        <v>0</v>
      </c>
      <c r="G11" s="164">
        <v>0</v>
      </c>
      <c r="H11" s="164"/>
      <c r="I11" s="164"/>
      <c r="J11" s="164"/>
      <c r="K11" s="164">
        <v>4656441</v>
      </c>
      <c r="L11" s="138">
        <f t="shared" si="1"/>
        <v>21623386</v>
      </c>
      <c r="M11" s="53"/>
      <c r="N11" s="53"/>
      <c r="O11" s="172">
        <v>13</v>
      </c>
      <c r="P11" s="171">
        <v>6778303</v>
      </c>
      <c r="Q11" s="171">
        <v>349081</v>
      </c>
      <c r="R11" s="87">
        <v>0</v>
      </c>
      <c r="S11" s="87">
        <v>0</v>
      </c>
      <c r="T11" s="87">
        <v>0</v>
      </c>
      <c r="U11" s="85">
        <f t="shared" si="2"/>
        <v>7127384</v>
      </c>
      <c r="V11" s="59" t="s">
        <v>189</v>
      </c>
      <c r="W11" s="60" t="s">
        <v>204</v>
      </c>
      <c r="X11" s="64" t="s">
        <v>203</v>
      </c>
      <c r="Y11" s="60" t="s">
        <v>202</v>
      </c>
      <c r="AA11" s="58">
        <f>+L11-'Escala Salarial PGN 2026'!Q19</f>
        <v>-21851171</v>
      </c>
    </row>
    <row r="12" spans="1:30" x14ac:dyDescent="0.2">
      <c r="A12" s="162" t="s">
        <v>45</v>
      </c>
      <c r="B12" s="166" t="s">
        <v>46</v>
      </c>
      <c r="C12" s="164">
        <v>19195520</v>
      </c>
      <c r="D12" s="164">
        <v>0</v>
      </c>
      <c r="E12" s="164">
        <f t="shared" si="0"/>
        <v>19195520</v>
      </c>
      <c r="F12" s="164">
        <v>0</v>
      </c>
      <c r="G12" s="164">
        <v>22739696</v>
      </c>
      <c r="H12" s="164"/>
      <c r="I12" s="164"/>
      <c r="J12" s="164">
        <v>5728653</v>
      </c>
      <c r="K12" s="164"/>
      <c r="L12" s="138">
        <f t="shared" si="1"/>
        <v>47663869</v>
      </c>
      <c r="M12" s="66"/>
      <c r="N12" s="53"/>
      <c r="O12" s="172">
        <v>14</v>
      </c>
      <c r="P12" s="171">
        <v>7163909</v>
      </c>
      <c r="Q12" s="171">
        <v>368941</v>
      </c>
      <c r="R12" s="87">
        <v>0</v>
      </c>
      <c r="S12" s="87">
        <v>0</v>
      </c>
      <c r="T12" s="87">
        <v>0</v>
      </c>
      <c r="U12" s="85">
        <f t="shared" si="2"/>
        <v>7532850</v>
      </c>
      <c r="V12" s="67"/>
      <c r="W12" s="61"/>
      <c r="X12" s="68"/>
      <c r="Y12" s="68"/>
      <c r="AA12" s="58">
        <f>+'Escala Salarial PGN 2026'!Q21-L12</f>
        <v>-47663869</v>
      </c>
    </row>
    <row r="13" spans="1:30" ht="15" x14ac:dyDescent="0.25">
      <c r="A13" s="167" t="s">
        <v>47</v>
      </c>
      <c r="B13" s="166" t="s">
        <v>48</v>
      </c>
      <c r="C13" s="164">
        <v>13338162</v>
      </c>
      <c r="D13" s="164">
        <v>0</v>
      </c>
      <c r="E13" s="164">
        <f t="shared" si="0"/>
        <v>13338162</v>
      </c>
      <c r="F13" s="164">
        <v>0</v>
      </c>
      <c r="G13" s="164">
        <v>0</v>
      </c>
      <c r="H13" s="164">
        <v>5310668</v>
      </c>
      <c r="I13" s="164"/>
      <c r="J13" s="164">
        <v>4001447</v>
      </c>
      <c r="K13" s="164"/>
      <c r="L13" s="138">
        <f t="shared" si="1"/>
        <v>22650277</v>
      </c>
      <c r="M13"/>
      <c r="N13" s="53"/>
      <c r="O13" s="172">
        <v>15</v>
      </c>
      <c r="P13" s="171">
        <v>7372157</v>
      </c>
      <c r="Q13" s="171">
        <v>379665</v>
      </c>
      <c r="R13" s="87">
        <v>0</v>
      </c>
      <c r="S13" s="87">
        <v>0</v>
      </c>
      <c r="T13" s="87">
        <v>0</v>
      </c>
      <c r="U13" s="85">
        <f t="shared" si="2"/>
        <v>7751822</v>
      </c>
      <c r="V13" s="203" t="s">
        <v>201</v>
      </c>
      <c r="W13" s="203"/>
      <c r="X13" s="203"/>
      <c r="Y13" s="197"/>
      <c r="AA13" s="58">
        <f>+'Escala Salarial PGN 2026'!Q22-L13</f>
        <v>5467772</v>
      </c>
    </row>
    <row r="14" spans="1:30" ht="15" x14ac:dyDescent="0.25">
      <c r="A14" s="162" t="s">
        <v>47</v>
      </c>
      <c r="B14" s="166" t="s">
        <v>108</v>
      </c>
      <c r="C14" s="164">
        <f>+C13</f>
        <v>13338162</v>
      </c>
      <c r="D14" s="164">
        <v>0</v>
      </c>
      <c r="E14" s="164">
        <f t="shared" si="0"/>
        <v>13338162</v>
      </c>
      <c r="F14" s="164">
        <v>0</v>
      </c>
      <c r="G14" s="164">
        <v>0</v>
      </c>
      <c r="H14" s="164">
        <v>5704105</v>
      </c>
      <c r="I14" s="164"/>
      <c r="J14" s="164">
        <f>+J13</f>
        <v>4001447</v>
      </c>
      <c r="K14" s="164"/>
      <c r="L14" s="138">
        <f t="shared" si="1"/>
        <v>23043714</v>
      </c>
      <c r="M14"/>
      <c r="N14" s="53"/>
      <c r="O14" s="172">
        <v>16</v>
      </c>
      <c r="P14" s="171">
        <v>8080104</v>
      </c>
      <c r="Q14" s="171">
        <v>416124</v>
      </c>
      <c r="R14" s="87">
        <v>0</v>
      </c>
      <c r="S14" s="87">
        <v>0</v>
      </c>
      <c r="T14" s="87">
        <v>0</v>
      </c>
      <c r="U14" s="85">
        <f t="shared" si="2"/>
        <v>8496228</v>
      </c>
      <c r="V14" s="59" t="s">
        <v>189</v>
      </c>
      <c r="W14" s="60" t="s">
        <v>200</v>
      </c>
      <c r="X14" s="64" t="s">
        <v>199</v>
      </c>
      <c r="Y14" s="60" t="s">
        <v>198</v>
      </c>
      <c r="AA14" s="58">
        <f>+'Escala Salarial PGN 2026'!Q23-L14</f>
        <v>5074335</v>
      </c>
    </row>
    <row r="15" spans="1:30" ht="15" x14ac:dyDescent="0.25">
      <c r="A15" s="57" t="s">
        <v>197</v>
      </c>
      <c r="B15" s="166" t="s">
        <v>32</v>
      </c>
      <c r="C15" s="164">
        <v>7368379</v>
      </c>
      <c r="D15" s="164">
        <v>7368374</v>
      </c>
      <c r="E15" s="164">
        <f t="shared" si="0"/>
        <v>14736753</v>
      </c>
      <c r="F15" s="164">
        <v>0</v>
      </c>
      <c r="G15" s="164">
        <v>0</v>
      </c>
      <c r="H15" s="164"/>
      <c r="I15" s="164">
        <v>0</v>
      </c>
      <c r="J15" s="164"/>
      <c r="K15" s="164"/>
      <c r="L15" s="168">
        <f t="shared" si="1"/>
        <v>14736753</v>
      </c>
      <c r="M15"/>
      <c r="N15" s="53"/>
      <c r="O15" s="172">
        <v>17</v>
      </c>
      <c r="P15" s="171">
        <v>9600381</v>
      </c>
      <c r="Q15" s="171">
        <v>494418</v>
      </c>
      <c r="R15" s="87">
        <v>0</v>
      </c>
      <c r="S15" s="87">
        <v>0</v>
      </c>
      <c r="T15" s="87">
        <v>0</v>
      </c>
      <c r="U15" s="85">
        <f t="shared" si="2"/>
        <v>10094799</v>
      </c>
      <c r="V15" s="197" t="s">
        <v>196</v>
      </c>
      <c r="W15" s="198"/>
      <c r="X15" s="198"/>
      <c r="Y15" s="198"/>
      <c r="AA15" s="58">
        <f>+'Escala Salarial PGN 2026'!Q24-L15</f>
        <v>4709157</v>
      </c>
    </row>
    <row r="16" spans="1:30" ht="15" x14ac:dyDescent="0.25">
      <c r="A16" s="57" t="s">
        <v>195</v>
      </c>
      <c r="B16" s="166" t="s">
        <v>37</v>
      </c>
      <c r="C16" s="164">
        <v>21629269</v>
      </c>
      <c r="D16" s="164">
        <v>0</v>
      </c>
      <c r="E16" s="164">
        <f t="shared" si="0"/>
        <v>21629269</v>
      </c>
      <c r="F16" s="164">
        <v>6488780</v>
      </c>
      <c r="G16" s="164">
        <v>0</v>
      </c>
      <c r="H16" s="164">
        <v>0</v>
      </c>
      <c r="I16" s="164">
        <v>0</v>
      </c>
      <c r="J16" s="164"/>
      <c r="K16" s="164"/>
      <c r="L16" s="168">
        <f t="shared" si="1"/>
        <v>28118049</v>
      </c>
      <c r="M16"/>
      <c r="N16" s="53"/>
      <c r="O16" s="172">
        <v>18</v>
      </c>
      <c r="P16" s="171">
        <v>10322140</v>
      </c>
      <c r="Q16" s="171">
        <v>531589</v>
      </c>
      <c r="R16" s="87">
        <v>0</v>
      </c>
      <c r="S16" s="87">
        <v>0</v>
      </c>
      <c r="T16" s="87">
        <v>0</v>
      </c>
      <c r="U16" s="85">
        <f t="shared" si="2"/>
        <v>10853729</v>
      </c>
      <c r="V16" s="59" t="s">
        <v>189</v>
      </c>
      <c r="W16" s="60" t="s">
        <v>194</v>
      </c>
      <c r="X16" s="64" t="s">
        <v>193</v>
      </c>
      <c r="Y16" s="60" t="s">
        <v>192</v>
      </c>
      <c r="AA16" s="58">
        <f>+'Escala Salarial PGN 2026'!Q25-L16</f>
        <v>-11144056</v>
      </c>
    </row>
    <row r="17" spans="1:29" ht="15" x14ac:dyDescent="0.25">
      <c r="A17" s="57" t="s">
        <v>191</v>
      </c>
      <c r="B17" s="166" t="s">
        <v>41</v>
      </c>
      <c r="C17" s="164">
        <v>19338111</v>
      </c>
      <c r="D17" s="164">
        <v>0</v>
      </c>
      <c r="E17" s="164">
        <f t="shared" si="0"/>
        <v>19338111</v>
      </c>
      <c r="F17" s="164">
        <v>5801429</v>
      </c>
      <c r="G17" s="164">
        <v>0</v>
      </c>
      <c r="H17" s="164">
        <v>0</v>
      </c>
      <c r="I17" s="164">
        <v>0</v>
      </c>
      <c r="J17" s="164"/>
      <c r="K17" s="164"/>
      <c r="L17" s="168">
        <f t="shared" si="1"/>
        <v>25139540</v>
      </c>
      <c r="M17"/>
      <c r="N17" s="53"/>
      <c r="O17" s="172">
        <v>19</v>
      </c>
      <c r="P17" s="171">
        <v>11131759</v>
      </c>
      <c r="Q17" s="171">
        <v>573284</v>
      </c>
      <c r="R17" s="87">
        <v>0</v>
      </c>
      <c r="S17" s="87">
        <v>0</v>
      </c>
      <c r="T17" s="87">
        <v>0</v>
      </c>
      <c r="U17" s="85">
        <f t="shared" si="2"/>
        <v>11705043</v>
      </c>
      <c r="V17" s="197" t="s">
        <v>190</v>
      </c>
      <c r="W17" s="198"/>
      <c r="X17" s="198"/>
      <c r="Y17" s="198"/>
      <c r="AA17" s="58">
        <f>+'Escala Salarial PGN 2026'!Q26-L17</f>
        <v>-11149397</v>
      </c>
    </row>
    <row r="18" spans="1:29" ht="15" x14ac:dyDescent="0.25">
      <c r="A18" s="69" t="s">
        <v>34</v>
      </c>
      <c r="B18" s="169" t="s">
        <v>35</v>
      </c>
      <c r="C18" s="164">
        <v>21629269</v>
      </c>
      <c r="D18" s="164">
        <v>0</v>
      </c>
      <c r="E18" s="164">
        <f t="shared" si="0"/>
        <v>21629269</v>
      </c>
      <c r="F18" s="164">
        <f>+F16</f>
        <v>6488780</v>
      </c>
      <c r="G18" s="164">
        <v>0</v>
      </c>
      <c r="H18" s="164">
        <v>0</v>
      </c>
      <c r="I18" s="164">
        <v>0</v>
      </c>
      <c r="J18" s="164"/>
      <c r="K18" s="164"/>
      <c r="L18" s="168">
        <f t="shared" si="1"/>
        <v>28118049</v>
      </c>
      <c r="M18"/>
      <c r="N18" s="53"/>
      <c r="O18" s="173" t="s">
        <v>43</v>
      </c>
      <c r="P18" s="171">
        <f>+P19</f>
        <v>13001103</v>
      </c>
      <c r="Q18" s="171">
        <v>669555</v>
      </c>
      <c r="R18" s="87">
        <v>0</v>
      </c>
      <c r="S18" s="87">
        <v>0</v>
      </c>
      <c r="T18" s="87">
        <v>0</v>
      </c>
      <c r="U18" s="85">
        <f t="shared" si="2"/>
        <v>13670658</v>
      </c>
      <c r="V18" s="59" t="s">
        <v>189</v>
      </c>
      <c r="W18" s="60" t="s">
        <v>188</v>
      </c>
      <c r="X18" s="64" t="s">
        <v>187</v>
      </c>
      <c r="Y18" s="60" t="s">
        <v>186</v>
      </c>
      <c r="AA18" s="58">
        <f>+'Escala Salarial PGN 2026'!Q27-L18</f>
        <v>-9382542</v>
      </c>
    </row>
    <row r="19" spans="1:29" ht="15" x14ac:dyDescent="0.25">
      <c r="C19" s="16"/>
      <c r="D19" s="16"/>
      <c r="E19" s="154"/>
      <c r="F19" s="16"/>
      <c r="G19" s="16"/>
      <c r="H19" s="16"/>
      <c r="I19" s="16"/>
      <c r="J19" s="16"/>
      <c r="K19" s="16"/>
      <c r="L19" s="157">
        <f>+SUM(L2:L18)</f>
        <v>613008197</v>
      </c>
      <c r="M19"/>
      <c r="N19" s="53"/>
      <c r="O19" s="172">
        <v>21</v>
      </c>
      <c r="P19" s="171">
        <v>13001103</v>
      </c>
      <c r="Q19" s="153">
        <v>0</v>
      </c>
      <c r="R19" s="87">
        <v>0</v>
      </c>
      <c r="S19" s="87">
        <v>0</v>
      </c>
      <c r="T19" s="87">
        <v>0</v>
      </c>
      <c r="U19" s="85">
        <f t="shared" si="2"/>
        <v>13001103</v>
      </c>
      <c r="V19" s="199" t="s">
        <v>185</v>
      </c>
      <c r="W19" s="200"/>
      <c r="X19" s="200"/>
      <c r="Y19" s="200"/>
    </row>
    <row r="20" spans="1:29" x14ac:dyDescent="0.2">
      <c r="L20" s="159"/>
      <c r="M20" s="53"/>
      <c r="N20" s="53"/>
      <c r="O20" s="172">
        <v>22</v>
      </c>
      <c r="P20" s="171">
        <v>13990143</v>
      </c>
      <c r="Q20" s="153">
        <v>0</v>
      </c>
      <c r="R20" s="87">
        <v>0</v>
      </c>
      <c r="S20" s="87">
        <v>0</v>
      </c>
      <c r="T20" s="87">
        <v>0</v>
      </c>
      <c r="U20" s="85">
        <f t="shared" si="2"/>
        <v>13990143</v>
      </c>
      <c r="V20" s="201" t="s">
        <v>184</v>
      </c>
      <c r="W20" s="202"/>
      <c r="X20" s="202"/>
      <c r="Y20" s="202"/>
    </row>
    <row r="21" spans="1:29" x14ac:dyDescent="0.2">
      <c r="A21" s="111"/>
      <c r="B21" s="111"/>
      <c r="C21" s="112"/>
      <c r="D21" s="112"/>
      <c r="E21" s="112"/>
      <c r="F21" s="112"/>
      <c r="G21" s="112"/>
      <c r="H21" s="112"/>
      <c r="I21" s="112"/>
      <c r="J21" s="112"/>
      <c r="N21" s="53"/>
      <c r="O21" s="172">
        <v>23</v>
      </c>
      <c r="P21" s="171">
        <v>15028735</v>
      </c>
      <c r="Q21" s="153">
        <v>0</v>
      </c>
      <c r="R21" s="87">
        <v>0</v>
      </c>
      <c r="S21" s="87">
        <v>0</v>
      </c>
      <c r="T21" s="87">
        <v>0</v>
      </c>
      <c r="U21" s="85">
        <f t="shared" si="2"/>
        <v>15028735</v>
      </c>
      <c r="V21" s="203" t="s">
        <v>183</v>
      </c>
      <c r="W21" s="203"/>
      <c r="X21" s="203"/>
      <c r="Y21" s="197"/>
    </row>
    <row r="22" spans="1:29" x14ac:dyDescent="0.2">
      <c r="A22" s="113"/>
      <c r="B22" s="114"/>
      <c r="C22" s="109"/>
      <c r="D22" s="109"/>
      <c r="E22" s="109"/>
      <c r="F22" s="112" t="s">
        <v>119</v>
      </c>
      <c r="G22" s="109"/>
      <c r="H22" s="109"/>
      <c r="I22" s="109"/>
      <c r="J22" s="109"/>
      <c r="K22" s="53"/>
      <c r="L22" s="103"/>
      <c r="M22" s="53"/>
      <c r="N22" s="53"/>
      <c r="O22" s="172">
        <v>24</v>
      </c>
      <c r="P22" s="171">
        <v>16973993</v>
      </c>
      <c r="Q22" s="153">
        <v>0</v>
      </c>
      <c r="R22" s="87">
        <v>0</v>
      </c>
      <c r="S22" s="87">
        <v>0</v>
      </c>
      <c r="T22" s="87">
        <v>0</v>
      </c>
      <c r="U22" s="85">
        <f t="shared" si="2"/>
        <v>16973993</v>
      </c>
      <c r="V22" s="59" t="s">
        <v>138</v>
      </c>
      <c r="W22" s="61">
        <v>0.04</v>
      </c>
      <c r="X22" s="70"/>
      <c r="Y22" s="70"/>
    </row>
    <row r="23" spans="1:29" ht="13.5" thickBot="1" x14ac:dyDescent="0.25">
      <c r="A23" s="113"/>
      <c r="B23" s="114"/>
      <c r="C23" s="109"/>
      <c r="D23" s="109"/>
      <c r="E23" s="109"/>
      <c r="F23" s="112"/>
      <c r="G23" s="109"/>
      <c r="H23" s="109"/>
      <c r="I23" s="109"/>
      <c r="J23" s="109"/>
      <c r="K23" s="53"/>
      <c r="L23" s="103"/>
      <c r="M23" s="71"/>
      <c r="N23" s="71"/>
      <c r="O23" s="170">
        <v>25</v>
      </c>
      <c r="P23" s="171">
        <v>19445910</v>
      </c>
      <c r="Q23" s="153">
        <v>0</v>
      </c>
      <c r="R23" s="86">
        <v>0</v>
      </c>
      <c r="S23" s="86">
        <v>0</v>
      </c>
      <c r="T23" s="86">
        <v>0</v>
      </c>
      <c r="U23" s="88">
        <f t="shared" si="2"/>
        <v>19445910</v>
      </c>
      <c r="V23" s="67" t="s">
        <v>135</v>
      </c>
      <c r="W23" s="61">
        <v>0.01</v>
      </c>
      <c r="X23" s="68"/>
      <c r="Y23" s="68"/>
      <c r="AC23" s="154">
        <f>+SUM(U2:U23)</f>
        <v>201635820</v>
      </c>
    </row>
    <row r="24" spans="1:29" ht="15.75" customHeight="1" x14ac:dyDescent="0.2">
      <c r="A24" s="204">
        <v>2024</v>
      </c>
      <c r="B24" s="204"/>
      <c r="C24" s="112"/>
      <c r="D24" s="205" t="s">
        <v>182</v>
      </c>
      <c r="E24" s="205"/>
      <c r="F24" s="205"/>
      <c r="G24" s="205"/>
      <c r="H24" s="205"/>
      <c r="I24" s="107">
        <f>+B25*25</f>
        <v>32500000</v>
      </c>
      <c r="J24" s="107"/>
      <c r="K24" s="99"/>
      <c r="L24" s="103"/>
      <c r="M24" s="71"/>
      <c r="N24" s="207" t="s">
        <v>240</v>
      </c>
      <c r="O24" s="89" t="s">
        <v>94</v>
      </c>
      <c r="P24" s="90">
        <v>1867380</v>
      </c>
      <c r="Q24" s="90">
        <v>96168</v>
      </c>
      <c r="R24" s="91">
        <v>2799991</v>
      </c>
      <c r="S24" s="91">
        <v>249095</v>
      </c>
      <c r="T24" s="91">
        <v>105857</v>
      </c>
      <c r="U24" s="92">
        <f t="shared" si="2"/>
        <v>5118491</v>
      </c>
      <c r="V24" s="67" t="s">
        <v>132</v>
      </c>
      <c r="W24" s="64" t="s">
        <v>181</v>
      </c>
      <c r="X24" s="68" t="s">
        <v>169</v>
      </c>
      <c r="Y24" s="68" t="s">
        <v>119</v>
      </c>
    </row>
    <row r="25" spans="1:29" x14ac:dyDescent="0.2">
      <c r="A25" s="115" t="s">
        <v>180</v>
      </c>
      <c r="B25" s="116">
        <v>1300000</v>
      </c>
      <c r="C25" s="117" t="s">
        <v>179</v>
      </c>
      <c r="D25" s="206" t="s">
        <v>178</v>
      </c>
      <c r="E25" s="206"/>
      <c r="F25" s="206"/>
      <c r="G25" s="206"/>
      <c r="H25" s="206"/>
      <c r="I25" s="206"/>
      <c r="J25" s="108"/>
      <c r="K25" s="100"/>
      <c r="L25" s="104"/>
      <c r="M25" s="71"/>
      <c r="N25" s="207"/>
      <c r="O25" s="80" t="s">
        <v>95</v>
      </c>
      <c r="P25" s="90">
        <v>2021374</v>
      </c>
      <c r="Q25" s="90">
        <v>104099</v>
      </c>
      <c r="R25" s="87">
        <v>3030893</v>
      </c>
      <c r="S25" s="91">
        <v>249095</v>
      </c>
      <c r="T25" s="91">
        <v>105857</v>
      </c>
      <c r="U25" s="85">
        <f>+P25+Q25+R25+S25+T25</f>
        <v>5511318</v>
      </c>
      <c r="V25" s="67" t="s">
        <v>129</v>
      </c>
      <c r="W25" s="61">
        <v>0.03</v>
      </c>
      <c r="X25" s="68"/>
      <c r="Y25" s="68"/>
    </row>
    <row r="26" spans="1:29" x14ac:dyDescent="0.2">
      <c r="A26" s="115" t="s">
        <v>177</v>
      </c>
      <c r="B26" s="116">
        <f>+S2</f>
        <v>249095</v>
      </c>
      <c r="C26" s="118">
        <v>2592594</v>
      </c>
      <c r="D26" s="208" t="s">
        <v>171</v>
      </c>
      <c r="E26" s="209"/>
      <c r="F26" s="209"/>
      <c r="G26" s="119" t="s">
        <v>176</v>
      </c>
      <c r="H26" s="107">
        <f>ROUND(2338198*$C$20,0)</f>
        <v>0</v>
      </c>
      <c r="I26" s="109">
        <v>50</v>
      </c>
      <c r="J26" s="109"/>
      <c r="K26" s="71"/>
      <c r="L26" s="103"/>
      <c r="M26" s="71"/>
      <c r="N26" s="207"/>
      <c r="O26" s="81" t="s">
        <v>96</v>
      </c>
      <c r="P26" s="90">
        <v>2500997</v>
      </c>
      <c r="Q26" s="90">
        <v>128799</v>
      </c>
      <c r="R26" s="87">
        <v>3750050</v>
      </c>
      <c r="S26" s="91">
        <v>249095</v>
      </c>
      <c r="T26" s="91">
        <v>105857</v>
      </c>
      <c r="U26" s="85">
        <f>+P26+Q26+S26+T26+R26</f>
        <v>6734798</v>
      </c>
      <c r="V26" s="59" t="s">
        <v>126</v>
      </c>
      <c r="W26" s="60" t="s">
        <v>175</v>
      </c>
      <c r="X26" s="68" t="s">
        <v>174</v>
      </c>
      <c r="Y26" s="68" t="s">
        <v>173</v>
      </c>
    </row>
    <row r="27" spans="1:29" x14ac:dyDescent="0.2">
      <c r="A27" s="115" t="s">
        <v>172</v>
      </c>
      <c r="B27" s="116">
        <v>93332</v>
      </c>
      <c r="C27" s="118">
        <v>2592594</v>
      </c>
      <c r="D27" s="208" t="s">
        <v>171</v>
      </c>
      <c r="E27" s="209"/>
      <c r="F27" s="209"/>
      <c r="G27" s="119" t="s">
        <v>170</v>
      </c>
      <c r="H27" s="107">
        <f>ROUND(2338198*$C$20,0)</f>
        <v>0</v>
      </c>
      <c r="I27" s="109">
        <v>35</v>
      </c>
      <c r="J27" s="109"/>
      <c r="K27" s="71"/>
      <c r="L27" s="103" t="s">
        <v>119</v>
      </c>
      <c r="M27" s="71"/>
      <c r="N27" s="207"/>
      <c r="O27" s="81" t="s">
        <v>97</v>
      </c>
      <c r="P27" s="90">
        <v>2835780</v>
      </c>
      <c r="Q27" s="90">
        <v>146040</v>
      </c>
      <c r="R27" s="87">
        <v>4252031</v>
      </c>
      <c r="S27" s="91">
        <v>249095</v>
      </c>
      <c r="T27" s="91">
        <f>+T26</f>
        <v>105857</v>
      </c>
      <c r="U27" s="85">
        <f>+P27+Q27+S27+T27+R27</f>
        <v>7588803</v>
      </c>
      <c r="V27" s="59" t="s">
        <v>123</v>
      </c>
      <c r="W27" s="72" t="s">
        <v>168</v>
      </c>
      <c r="X27" s="68" t="s">
        <v>167</v>
      </c>
      <c r="Y27" s="68" t="s">
        <v>166</v>
      </c>
    </row>
    <row r="28" spans="1:29" x14ac:dyDescent="0.2">
      <c r="A28" s="115"/>
      <c r="B28" s="116"/>
      <c r="C28" s="120" t="s">
        <v>119</v>
      </c>
      <c r="D28" s="109"/>
      <c r="E28" s="210" t="s">
        <v>165</v>
      </c>
      <c r="F28" s="210"/>
      <c r="G28" s="210"/>
      <c r="H28" s="210"/>
      <c r="I28" s="210"/>
      <c r="J28" s="110"/>
      <c r="K28" s="101"/>
      <c r="L28" s="104" t="s">
        <v>119</v>
      </c>
      <c r="M28" s="71"/>
      <c r="N28" s="207"/>
      <c r="O28" s="81" t="s">
        <v>98</v>
      </c>
      <c r="P28" s="90">
        <v>2982469</v>
      </c>
      <c r="Q28" s="90">
        <v>153593</v>
      </c>
      <c r="R28" s="87">
        <v>4471980</v>
      </c>
      <c r="S28" s="91">
        <v>249095</v>
      </c>
      <c r="T28" s="91">
        <v>0</v>
      </c>
      <c r="U28" s="85">
        <f>+P28+Q28+S28+T28+R28</f>
        <v>7857137</v>
      </c>
      <c r="V28" s="211" t="s">
        <v>164</v>
      </c>
      <c r="W28" s="211"/>
      <c r="X28" s="211"/>
      <c r="Y28" s="211"/>
    </row>
    <row r="29" spans="1:29" x14ac:dyDescent="0.2">
      <c r="A29" s="195" t="s">
        <v>163</v>
      </c>
      <c r="B29" s="195"/>
      <c r="C29" s="195"/>
      <c r="D29" s="110" t="s">
        <v>119</v>
      </c>
      <c r="E29" s="110" t="s">
        <v>119</v>
      </c>
      <c r="F29" s="110"/>
      <c r="G29" s="109"/>
      <c r="H29" s="109" t="s">
        <v>119</v>
      </c>
      <c r="I29" s="109"/>
      <c r="J29" s="109"/>
      <c r="K29" s="71"/>
      <c r="L29" s="105" t="s">
        <v>119</v>
      </c>
      <c r="M29" s="53"/>
      <c r="N29" s="207"/>
      <c r="O29" s="80" t="s">
        <v>99</v>
      </c>
      <c r="P29" s="90">
        <v>3154511</v>
      </c>
      <c r="Q29" s="90">
        <v>162457</v>
      </c>
      <c r="R29" s="87">
        <v>4729943</v>
      </c>
      <c r="S29" s="91">
        <v>249095</v>
      </c>
      <c r="T29" s="91">
        <v>0</v>
      </c>
      <c r="U29" s="85">
        <f t="shared" si="2"/>
        <v>8296006</v>
      </c>
      <c r="V29" s="196" t="s">
        <v>162</v>
      </c>
      <c r="W29" s="196"/>
      <c r="X29" s="196"/>
      <c r="Y29" s="196"/>
    </row>
    <row r="30" spans="1:29" x14ac:dyDescent="0.2">
      <c r="A30" s="121" t="s">
        <v>161</v>
      </c>
      <c r="B30" s="122" t="s">
        <v>160</v>
      </c>
      <c r="C30" s="117" t="s">
        <v>159</v>
      </c>
      <c r="D30" s="123" t="s">
        <v>119</v>
      </c>
      <c r="E30" s="123" t="s">
        <v>119</v>
      </c>
      <c r="F30" s="123" t="s">
        <v>119</v>
      </c>
      <c r="G30" s="109" t="s">
        <v>119</v>
      </c>
      <c r="H30" s="109"/>
      <c r="I30" s="109"/>
      <c r="J30" s="109"/>
      <c r="K30" s="71"/>
      <c r="L30" s="105"/>
      <c r="M30" s="71"/>
      <c r="N30" s="207"/>
      <c r="O30" s="80" t="s">
        <v>100</v>
      </c>
      <c r="P30" s="90">
        <v>3323384</v>
      </c>
      <c r="Q30" s="90">
        <v>171151</v>
      </c>
      <c r="R30" s="87">
        <v>4983155</v>
      </c>
      <c r="S30" s="91">
        <v>249095</v>
      </c>
      <c r="T30" s="91">
        <v>0</v>
      </c>
      <c r="U30" s="85">
        <f t="shared" si="2"/>
        <v>8726785</v>
      </c>
      <c r="V30" s="73"/>
      <c r="W30" s="74"/>
      <c r="X30" s="73"/>
      <c r="Y30" s="73"/>
    </row>
    <row r="31" spans="1:29" x14ac:dyDescent="0.2">
      <c r="A31" s="124" t="s">
        <v>151</v>
      </c>
      <c r="B31" s="125" t="s">
        <v>158</v>
      </c>
      <c r="C31" s="118">
        <v>124694</v>
      </c>
      <c r="D31" s="123"/>
      <c r="E31" s="112" t="s">
        <v>157</v>
      </c>
      <c r="F31" s="126">
        <v>42412</v>
      </c>
      <c r="G31" s="117" t="s">
        <v>156</v>
      </c>
      <c r="H31" s="112"/>
      <c r="I31" s="109"/>
      <c r="J31" s="109"/>
      <c r="K31" s="71"/>
      <c r="L31" s="104"/>
      <c r="M31" s="71"/>
      <c r="N31" s="207"/>
      <c r="O31" s="80" t="s">
        <v>101</v>
      </c>
      <c r="P31" s="90">
        <v>3480951</v>
      </c>
      <c r="Q31" s="90">
        <v>179269</v>
      </c>
      <c r="R31" s="87">
        <v>5219415</v>
      </c>
      <c r="S31" s="91">
        <v>249095</v>
      </c>
      <c r="T31" s="91">
        <v>0</v>
      </c>
      <c r="U31" s="85">
        <f t="shared" si="2"/>
        <v>9128730</v>
      </c>
      <c r="V31" s="75"/>
      <c r="W31" s="76"/>
      <c r="X31" s="77" t="s">
        <v>119</v>
      </c>
      <c r="Y31" s="73"/>
    </row>
    <row r="32" spans="1:29" x14ac:dyDescent="0.2">
      <c r="A32" s="124" t="s">
        <v>151</v>
      </c>
      <c r="B32" s="125" t="s">
        <v>155</v>
      </c>
      <c r="C32" s="118">
        <v>124694</v>
      </c>
      <c r="D32" s="123"/>
      <c r="E32" s="112" t="s">
        <v>154</v>
      </c>
      <c r="F32" s="117">
        <v>100</v>
      </c>
      <c r="G32" s="121">
        <f>+F31*F32</f>
        <v>4241200</v>
      </c>
      <c r="H32" s="118">
        <f>+G32*12</f>
        <v>50894400</v>
      </c>
      <c r="I32" s="127"/>
      <c r="J32" s="127"/>
      <c r="K32" s="78"/>
      <c r="L32" s="106"/>
      <c r="M32" s="71"/>
      <c r="N32" s="207"/>
      <c r="O32" s="80" t="s">
        <v>104</v>
      </c>
      <c r="P32" s="90">
        <v>3538344</v>
      </c>
      <c r="Q32" s="90">
        <v>182223</v>
      </c>
      <c r="R32" s="87">
        <v>5305471</v>
      </c>
      <c r="S32" s="87">
        <v>0</v>
      </c>
      <c r="T32" s="87">
        <v>0</v>
      </c>
      <c r="U32" s="85">
        <f t="shared" si="2"/>
        <v>9026038</v>
      </c>
      <c r="V32" s="75"/>
      <c r="W32" s="76"/>
      <c r="X32" s="77" t="s">
        <v>119</v>
      </c>
      <c r="Y32" s="73"/>
    </row>
    <row r="33" spans="1:29" x14ac:dyDescent="0.2">
      <c r="A33" s="124" t="s">
        <v>151</v>
      </c>
      <c r="B33" s="125" t="s">
        <v>153</v>
      </c>
      <c r="C33" s="118">
        <v>124694</v>
      </c>
      <c r="D33" s="123"/>
      <c r="E33" s="112" t="s">
        <v>152</v>
      </c>
      <c r="F33" s="117">
        <v>16</v>
      </c>
      <c r="G33" s="121">
        <f>+F31*F33</f>
        <v>678592</v>
      </c>
      <c r="H33" s="118">
        <f>+G33*12</f>
        <v>8143104</v>
      </c>
      <c r="I33" s="112"/>
      <c r="J33" s="112"/>
      <c r="K33" s="66"/>
      <c r="L33" s="103"/>
      <c r="M33" s="71"/>
      <c r="N33" s="207"/>
      <c r="O33" s="80" t="s">
        <v>102</v>
      </c>
      <c r="P33" s="90">
        <v>3698387</v>
      </c>
      <c r="Q33" s="90">
        <v>190464</v>
      </c>
      <c r="R33" s="87">
        <v>5545443</v>
      </c>
      <c r="S33" s="87">
        <v>0</v>
      </c>
      <c r="T33" s="87">
        <v>0</v>
      </c>
      <c r="U33" s="85">
        <f t="shared" si="2"/>
        <v>9434294</v>
      </c>
      <c r="V33" s="75" t="s">
        <v>119</v>
      </c>
      <c r="W33" s="76" t="s">
        <v>119</v>
      </c>
      <c r="X33" s="75"/>
      <c r="Y33" s="79"/>
    </row>
    <row r="34" spans="1:29" x14ac:dyDescent="0.2">
      <c r="A34" s="124" t="s">
        <v>151</v>
      </c>
      <c r="B34" s="125" t="s">
        <v>150</v>
      </c>
      <c r="C34" s="118">
        <v>124694</v>
      </c>
      <c r="D34" s="123"/>
      <c r="E34" s="112" t="s">
        <v>149</v>
      </c>
      <c r="F34" s="117">
        <v>32</v>
      </c>
      <c r="G34" s="121">
        <f>+F31*F34</f>
        <v>1357184</v>
      </c>
      <c r="H34" s="118">
        <f>+G34*12</f>
        <v>16286208</v>
      </c>
      <c r="I34" s="112"/>
      <c r="J34" s="112"/>
      <c r="K34" s="66"/>
      <c r="L34" s="103" t="s">
        <v>119</v>
      </c>
      <c r="M34" s="66"/>
      <c r="N34" s="207"/>
      <c r="O34" s="80" t="s">
        <v>105</v>
      </c>
      <c r="P34" s="90">
        <v>4247897</v>
      </c>
      <c r="Q34" s="90">
        <v>218764</v>
      </c>
      <c r="R34" s="87">
        <v>6369390</v>
      </c>
      <c r="S34" s="87">
        <v>0</v>
      </c>
      <c r="T34" s="87">
        <v>0</v>
      </c>
      <c r="U34" s="85">
        <f t="shared" si="2"/>
        <v>10836051</v>
      </c>
      <c r="V34" s="75" t="s">
        <v>119</v>
      </c>
      <c r="W34" s="76" t="s">
        <v>119</v>
      </c>
      <c r="X34" s="75"/>
      <c r="Y34" s="75"/>
    </row>
    <row r="35" spans="1:29" x14ac:dyDescent="0.2">
      <c r="A35" s="124" t="s">
        <v>148</v>
      </c>
      <c r="B35" s="125" t="s">
        <v>147</v>
      </c>
      <c r="C35" s="118">
        <v>78603</v>
      </c>
      <c r="D35" s="117"/>
      <c r="E35" s="112" t="s">
        <v>146</v>
      </c>
      <c r="F35" s="117"/>
      <c r="G35" s="117"/>
      <c r="H35" s="112"/>
      <c r="I35" s="112" t="s">
        <v>119</v>
      </c>
      <c r="J35" s="112"/>
      <c r="K35" s="66"/>
      <c r="L35" s="103" t="s">
        <v>119</v>
      </c>
      <c r="M35" s="66"/>
      <c r="N35" s="207"/>
      <c r="O35" s="80" t="s">
        <v>103</v>
      </c>
      <c r="P35" s="90">
        <v>4651151</v>
      </c>
      <c r="Q35" s="90">
        <v>239532</v>
      </c>
      <c r="R35" s="87">
        <v>6974038</v>
      </c>
      <c r="S35" s="87">
        <v>0</v>
      </c>
      <c r="T35" s="87">
        <v>0</v>
      </c>
      <c r="U35" s="85">
        <f t="shared" si="2"/>
        <v>11864721</v>
      </c>
      <c r="V35" s="76"/>
      <c r="W35" s="76" t="s">
        <v>119</v>
      </c>
      <c r="X35" s="75"/>
      <c r="Y35" s="75"/>
    </row>
    <row r="36" spans="1:29" x14ac:dyDescent="0.2">
      <c r="A36" s="124" t="s">
        <v>116</v>
      </c>
      <c r="B36" s="125" t="s">
        <v>145</v>
      </c>
      <c r="C36" s="118">
        <v>49936</v>
      </c>
      <c r="D36" s="112"/>
      <c r="E36" s="112" t="s">
        <v>144</v>
      </c>
      <c r="F36" s="112">
        <v>0.12</v>
      </c>
      <c r="G36" s="128" t="s">
        <v>143</v>
      </c>
      <c r="H36" s="112">
        <v>0.12</v>
      </c>
      <c r="I36" s="112"/>
      <c r="J36" s="112"/>
      <c r="K36" s="66"/>
      <c r="L36" s="103"/>
      <c r="M36" s="66"/>
      <c r="N36" s="207"/>
      <c r="O36" s="80" t="s">
        <v>106</v>
      </c>
      <c r="P36" s="90">
        <v>5418765</v>
      </c>
      <c r="Q36" s="90">
        <v>279065</v>
      </c>
      <c r="R36" s="87">
        <v>8125015</v>
      </c>
      <c r="S36" s="87">
        <v>0</v>
      </c>
      <c r="T36" s="87">
        <v>0</v>
      </c>
      <c r="U36" s="85">
        <f t="shared" si="2"/>
        <v>13822845</v>
      </c>
      <c r="V36" s="76"/>
      <c r="W36" s="76" t="s">
        <v>119</v>
      </c>
      <c r="X36" s="75"/>
      <c r="Y36" s="75"/>
    </row>
    <row r="37" spans="1:29" x14ac:dyDescent="0.2">
      <c r="A37" s="124" t="s">
        <v>116</v>
      </c>
      <c r="B37" s="125" t="s">
        <v>142</v>
      </c>
      <c r="C37" s="118">
        <v>49936</v>
      </c>
      <c r="D37" s="112"/>
      <c r="E37" s="112" t="s">
        <v>141</v>
      </c>
      <c r="F37" s="112">
        <v>8.5000000000000006E-2</v>
      </c>
      <c r="G37" s="128" t="s">
        <v>140</v>
      </c>
      <c r="H37" s="112">
        <v>8.5000000000000006E-2</v>
      </c>
      <c r="I37" s="112"/>
      <c r="J37" s="112"/>
      <c r="K37" s="66"/>
      <c r="L37" s="103"/>
      <c r="M37" s="66"/>
      <c r="N37" s="207"/>
      <c r="O37" s="81" t="s">
        <v>107</v>
      </c>
      <c r="P37" s="90">
        <v>5613755</v>
      </c>
      <c r="Q37" s="90">
        <v>289107</v>
      </c>
      <c r="R37" s="87">
        <v>8417388</v>
      </c>
      <c r="S37" s="87">
        <v>0</v>
      </c>
      <c r="T37" s="87">
        <v>0</v>
      </c>
      <c r="U37" s="85">
        <f t="shared" si="2"/>
        <v>14320250</v>
      </c>
      <c r="V37" s="76"/>
      <c r="W37" s="76"/>
      <c r="X37" s="75"/>
      <c r="Y37" s="75"/>
    </row>
    <row r="38" spans="1:29" x14ac:dyDescent="0.2">
      <c r="A38" s="124" t="s">
        <v>116</v>
      </c>
      <c r="B38" s="125" t="s">
        <v>139</v>
      </c>
      <c r="C38" s="118">
        <v>49936</v>
      </c>
      <c r="D38" s="112"/>
      <c r="E38" s="129" t="s">
        <v>138</v>
      </c>
      <c r="F38" s="112">
        <v>0.04</v>
      </c>
      <c r="G38" s="128" t="s">
        <v>137</v>
      </c>
      <c r="H38" s="112">
        <v>0.04</v>
      </c>
      <c r="I38" s="112"/>
      <c r="J38" s="112"/>
      <c r="K38" s="66"/>
      <c r="L38" s="103"/>
      <c r="M38" s="66"/>
      <c r="N38" s="207"/>
      <c r="O38" s="80" t="s">
        <v>109</v>
      </c>
      <c r="P38" s="90">
        <v>6001005</v>
      </c>
      <c r="Q38" s="90">
        <v>309051</v>
      </c>
      <c r="R38" s="87">
        <v>8998039</v>
      </c>
      <c r="S38" s="87">
        <v>0</v>
      </c>
      <c r="T38" s="87">
        <v>0</v>
      </c>
      <c r="U38" s="85">
        <f t="shared" si="2"/>
        <v>15308095</v>
      </c>
      <c r="V38" s="76"/>
      <c r="W38" s="76"/>
      <c r="X38" s="75"/>
      <c r="Y38" s="75"/>
    </row>
    <row r="39" spans="1:29" x14ac:dyDescent="0.2">
      <c r="A39" s="124" t="s">
        <v>116</v>
      </c>
      <c r="B39" s="125" t="s">
        <v>136</v>
      </c>
      <c r="C39" s="118">
        <v>49936</v>
      </c>
      <c r="D39" s="112"/>
      <c r="E39" s="129" t="s">
        <v>135</v>
      </c>
      <c r="F39" s="112">
        <v>0.01</v>
      </c>
      <c r="G39" s="128" t="s">
        <v>134</v>
      </c>
      <c r="H39" s="112">
        <v>0.01</v>
      </c>
      <c r="I39" s="112"/>
      <c r="J39" s="112"/>
      <c r="K39" s="66"/>
      <c r="L39" s="103" t="s">
        <v>119</v>
      </c>
      <c r="M39" s="66"/>
      <c r="N39" s="207"/>
      <c r="O39" s="80" t="s">
        <v>110</v>
      </c>
      <c r="P39" s="90">
        <v>6924127</v>
      </c>
      <c r="Q39" s="90">
        <v>0</v>
      </c>
      <c r="R39" s="87">
        <v>10382188</v>
      </c>
      <c r="S39" s="87">
        <v>0</v>
      </c>
      <c r="T39" s="87">
        <v>0</v>
      </c>
      <c r="U39" s="85">
        <f t="shared" si="2"/>
        <v>17306315</v>
      </c>
      <c r="V39" s="76"/>
      <c r="W39" s="76"/>
      <c r="X39" s="75"/>
      <c r="Y39" s="75"/>
    </row>
    <row r="40" spans="1:29" ht="13.5" thickBot="1" x14ac:dyDescent="0.25">
      <c r="A40" s="124" t="s">
        <v>116</v>
      </c>
      <c r="B40" s="125" t="s">
        <v>133</v>
      </c>
      <c r="C40" s="118">
        <v>49936</v>
      </c>
      <c r="D40" s="112"/>
      <c r="E40" s="129" t="s">
        <v>132</v>
      </c>
      <c r="F40" s="112">
        <v>5.0000000000000001E-3</v>
      </c>
      <c r="G40" s="128" t="s">
        <v>131</v>
      </c>
      <c r="H40" s="112">
        <v>5.0000000000000001E-3</v>
      </c>
      <c r="I40" s="112" t="s">
        <v>119</v>
      </c>
      <c r="J40" s="112"/>
      <c r="K40" s="66"/>
      <c r="L40" s="103" t="s">
        <v>119</v>
      </c>
      <c r="M40" s="66"/>
      <c r="N40" s="207"/>
      <c r="O40" s="82" t="s">
        <v>111</v>
      </c>
      <c r="P40" s="90">
        <v>7495936</v>
      </c>
      <c r="Q40" s="90">
        <v>0</v>
      </c>
      <c r="R40" s="86">
        <v>11239571</v>
      </c>
      <c r="S40" s="86">
        <v>0</v>
      </c>
      <c r="T40" s="86">
        <v>0</v>
      </c>
      <c r="U40" s="93">
        <f>+P40+Q40+S40+T40+R40</f>
        <v>18735507</v>
      </c>
      <c r="V40" s="75"/>
      <c r="W40" s="75"/>
      <c r="X40" s="75"/>
      <c r="Y40" s="75"/>
      <c r="AC40" s="154">
        <f>+SUM(U24:U40)</f>
        <v>179616184</v>
      </c>
    </row>
    <row r="41" spans="1:29" ht="22.5" x14ac:dyDescent="0.25">
      <c r="A41" s="124" t="s">
        <v>116</v>
      </c>
      <c r="B41" s="125" t="s">
        <v>130</v>
      </c>
      <c r="C41" s="118">
        <v>49936</v>
      </c>
      <c r="D41" s="112"/>
      <c r="E41" s="129" t="s">
        <v>129</v>
      </c>
      <c r="F41" s="112">
        <v>0.03</v>
      </c>
      <c r="G41" s="128" t="s">
        <v>128</v>
      </c>
      <c r="H41" s="112">
        <v>0.03</v>
      </c>
      <c r="I41" s="112" t="s">
        <v>119</v>
      </c>
      <c r="J41" s="112"/>
      <c r="K41" s="66"/>
      <c r="L41" s="103" t="s">
        <v>119</v>
      </c>
      <c r="M41" s="66"/>
      <c r="N41" s="66"/>
      <c r="O41"/>
      <c r="P41" s="95" t="s">
        <v>243</v>
      </c>
      <c r="Q41" s="96" t="s">
        <v>227</v>
      </c>
      <c r="R41" s="96" t="s">
        <v>241</v>
      </c>
      <c r="S41" s="97" t="s">
        <v>226</v>
      </c>
      <c r="T41" s="97" t="s">
        <v>225</v>
      </c>
      <c r="U41" s="98" t="s">
        <v>120</v>
      </c>
      <c r="V41" s="75"/>
      <c r="W41" s="75"/>
      <c r="X41" s="75"/>
      <c r="Y41" s="75"/>
    </row>
    <row r="42" spans="1:29" x14ac:dyDescent="0.2">
      <c r="A42" s="124" t="s">
        <v>116</v>
      </c>
      <c r="B42" s="125" t="s">
        <v>127</v>
      </c>
      <c r="C42" s="118">
        <v>49936</v>
      </c>
      <c r="D42" s="112"/>
      <c r="E42" s="129" t="s">
        <v>126</v>
      </c>
      <c r="F42" s="112">
        <v>5.0000000000000001E-3</v>
      </c>
      <c r="G42" s="128" t="s">
        <v>125</v>
      </c>
      <c r="H42" s="112">
        <v>5.0000000000000001E-3</v>
      </c>
      <c r="I42" s="112"/>
      <c r="J42" s="112"/>
      <c r="K42" s="66"/>
      <c r="L42" s="103" t="s">
        <v>119</v>
      </c>
      <c r="M42" s="66"/>
      <c r="N42" s="66"/>
      <c r="P42" s="94">
        <v>2</v>
      </c>
      <c r="Q42" s="94">
        <f>+P42+1</f>
        <v>3</v>
      </c>
      <c r="R42" s="94">
        <f t="shared" ref="R42:U42" si="3">+Q42+1</f>
        <v>4</v>
      </c>
      <c r="S42" s="94">
        <f t="shared" si="3"/>
        <v>5</v>
      </c>
      <c r="T42" s="94">
        <f t="shared" si="3"/>
        <v>6</v>
      </c>
      <c r="U42" s="94">
        <f t="shared" si="3"/>
        <v>7</v>
      </c>
      <c r="V42" s="75"/>
      <c r="W42" s="75"/>
      <c r="X42" s="75"/>
      <c r="Y42" s="75"/>
    </row>
    <row r="43" spans="1:29" ht="15" x14ac:dyDescent="0.25">
      <c r="A43" s="124" t="s">
        <v>116</v>
      </c>
      <c r="B43" s="125" t="s">
        <v>124</v>
      </c>
      <c r="C43" s="118">
        <v>49936</v>
      </c>
      <c r="D43" s="112"/>
      <c r="E43" s="129" t="s">
        <v>123</v>
      </c>
      <c r="F43" s="112">
        <v>5.2199999999999998E-3</v>
      </c>
      <c r="G43" s="128" t="s">
        <v>122</v>
      </c>
      <c r="H43" s="112">
        <v>6.9599999999999995E-2</v>
      </c>
      <c r="I43" s="112"/>
      <c r="J43" s="112"/>
      <c r="K43" s="66"/>
      <c r="M43" s="66"/>
      <c r="N43" s="66"/>
      <c r="O43"/>
      <c r="P43" s="66"/>
      <c r="Q43" s="75"/>
      <c r="R43" s="75"/>
      <c r="S43" s="75"/>
      <c r="T43" s="75"/>
      <c r="U43" s="75"/>
      <c r="V43" s="75"/>
      <c r="W43" s="75"/>
      <c r="X43" s="75"/>
      <c r="Y43" s="75"/>
    </row>
    <row r="44" spans="1:29" ht="15" x14ac:dyDescent="0.25">
      <c r="A44" s="124" t="s">
        <v>116</v>
      </c>
      <c r="B44" s="125" t="s">
        <v>121</v>
      </c>
      <c r="C44" s="118">
        <v>49936</v>
      </c>
      <c r="D44" s="112"/>
      <c r="E44" s="112" t="s">
        <v>120</v>
      </c>
      <c r="F44" s="112">
        <v>0.30022000000000004</v>
      </c>
      <c r="G44" s="130" t="s">
        <v>119</v>
      </c>
      <c r="H44" s="112">
        <v>0.36460000000000004</v>
      </c>
      <c r="I44" s="112"/>
      <c r="J44" s="112"/>
      <c r="K44" s="66"/>
      <c r="L44" s="103"/>
      <c r="M44" s="66"/>
      <c r="N44" s="66"/>
      <c r="O44"/>
      <c r="P44" s="155">
        <f>+SUM(P24:P40)</f>
        <v>69756213</v>
      </c>
      <c r="Q44" s="75"/>
      <c r="R44" s="155">
        <f>+SUM(R24:R40)</f>
        <v>104594001</v>
      </c>
      <c r="S44" s="75"/>
      <c r="T44" s="75"/>
      <c r="U44" s="75"/>
      <c r="V44" s="75"/>
      <c r="W44" s="75"/>
      <c r="X44" s="75"/>
      <c r="Y44" s="75"/>
    </row>
    <row r="45" spans="1:29" ht="15" x14ac:dyDescent="0.25">
      <c r="A45" s="124" t="s">
        <v>116</v>
      </c>
      <c r="B45" s="111" t="s">
        <v>118</v>
      </c>
      <c r="C45" s="118">
        <v>49936</v>
      </c>
      <c r="D45" s="112"/>
      <c r="E45" s="112"/>
      <c r="F45" s="112"/>
      <c r="G45" s="112"/>
      <c r="H45" s="112"/>
      <c r="I45" s="112"/>
      <c r="J45" s="112"/>
      <c r="O45"/>
    </row>
    <row r="46" spans="1:29" ht="15" x14ac:dyDescent="0.25">
      <c r="A46" s="124" t="s">
        <v>116</v>
      </c>
      <c r="B46" s="111" t="s">
        <v>117</v>
      </c>
      <c r="C46" s="118">
        <v>49936</v>
      </c>
      <c r="D46" s="112"/>
      <c r="E46" s="112"/>
      <c r="F46" s="112"/>
      <c r="G46" s="112"/>
      <c r="H46" s="112"/>
      <c r="I46" s="112"/>
      <c r="J46" s="112"/>
      <c r="O46"/>
    </row>
    <row r="47" spans="1:29" ht="15" x14ac:dyDescent="0.25">
      <c r="A47" s="124" t="s">
        <v>116</v>
      </c>
      <c r="B47" s="111" t="s">
        <v>115</v>
      </c>
      <c r="C47" s="118">
        <v>49936</v>
      </c>
      <c r="D47" s="112"/>
      <c r="E47" s="112"/>
      <c r="F47" s="112"/>
      <c r="G47" s="112"/>
      <c r="H47" s="112"/>
      <c r="I47" s="112"/>
      <c r="J47" s="112"/>
      <c r="O47"/>
    </row>
    <row r="48" spans="1:29" ht="15" x14ac:dyDescent="0.25">
      <c r="A48" s="124" t="s">
        <v>114</v>
      </c>
      <c r="B48" s="111" t="s">
        <v>113</v>
      </c>
      <c r="C48" s="118">
        <v>49936</v>
      </c>
      <c r="D48" s="112"/>
      <c r="E48" s="112"/>
      <c r="F48" s="112"/>
      <c r="G48" s="112"/>
      <c r="H48" s="112"/>
      <c r="I48" s="112"/>
      <c r="J48" s="112"/>
      <c r="O48"/>
    </row>
    <row r="49" spans="1:15" ht="15" x14ac:dyDescent="0.25">
      <c r="A49" s="111"/>
      <c r="B49" s="111"/>
      <c r="C49" s="112"/>
      <c r="D49" s="112"/>
      <c r="E49" s="112"/>
      <c r="F49" s="112"/>
      <c r="G49" s="112"/>
      <c r="H49" s="112"/>
      <c r="I49" s="112"/>
      <c r="J49" s="112"/>
      <c r="O49"/>
    </row>
    <row r="50" spans="1:15" ht="15" x14ac:dyDescent="0.25">
      <c r="A50" s="111"/>
      <c r="B50" s="111"/>
      <c r="C50" s="112"/>
      <c r="D50" s="112"/>
      <c r="E50" s="112"/>
      <c r="F50" s="112"/>
      <c r="G50" s="112"/>
      <c r="H50" s="112"/>
      <c r="I50" s="112"/>
      <c r="J50" s="112"/>
      <c r="O50"/>
    </row>
    <row r="51" spans="1:15" ht="15" x14ac:dyDescent="0.25">
      <c r="A51" s="111"/>
      <c r="B51" s="111"/>
      <c r="C51" s="112"/>
      <c r="D51" s="112"/>
      <c r="E51" s="112"/>
      <c r="F51" s="112"/>
      <c r="G51" s="112"/>
      <c r="H51" s="112"/>
      <c r="I51" s="112"/>
      <c r="J51" s="112"/>
      <c r="O51"/>
    </row>
    <row r="52" spans="1:15" ht="15" x14ac:dyDescent="0.25">
      <c r="A52" s="111"/>
      <c r="B52" s="111"/>
      <c r="C52" s="112"/>
      <c r="D52" s="112"/>
      <c r="E52" s="112"/>
      <c r="F52" s="112"/>
      <c r="G52" s="112"/>
      <c r="H52" s="112"/>
      <c r="I52" s="112"/>
      <c r="J52" s="112"/>
      <c r="O52"/>
    </row>
    <row r="53" spans="1:15" ht="15" x14ac:dyDescent="0.25">
      <c r="A53" s="111"/>
      <c r="B53" s="111"/>
      <c r="C53" s="112"/>
      <c r="D53" s="112"/>
      <c r="E53" s="112"/>
      <c r="F53" s="112"/>
      <c r="G53" s="112"/>
      <c r="H53" s="112"/>
      <c r="I53" s="112"/>
      <c r="J53" s="112"/>
      <c r="O53"/>
    </row>
    <row r="54" spans="1:15" ht="15" x14ac:dyDescent="0.25">
      <c r="A54" s="111"/>
      <c r="B54" s="111"/>
      <c r="C54" s="112"/>
      <c r="D54" s="112"/>
      <c r="E54" s="112"/>
      <c r="F54" s="112"/>
      <c r="G54" s="112"/>
      <c r="H54" s="112"/>
      <c r="I54" s="112"/>
      <c r="J54" s="112"/>
      <c r="O54"/>
    </row>
    <row r="55" spans="1:15" ht="15" x14ac:dyDescent="0.25">
      <c r="A55" s="111"/>
      <c r="B55" s="111"/>
      <c r="C55" s="112"/>
      <c r="D55" s="112"/>
      <c r="E55" s="112"/>
      <c r="F55" s="112"/>
      <c r="G55" s="112"/>
      <c r="H55" s="112"/>
      <c r="I55" s="112"/>
      <c r="J55" s="112"/>
      <c r="O55"/>
    </row>
    <row r="56" spans="1:15" ht="15" x14ac:dyDescent="0.25">
      <c r="A56" s="111"/>
      <c r="B56" s="111"/>
      <c r="C56" s="112"/>
      <c r="D56" s="112"/>
      <c r="E56" s="112"/>
      <c r="F56" s="112"/>
      <c r="G56" s="112"/>
      <c r="H56" s="112"/>
      <c r="I56" s="112"/>
      <c r="J56" s="112"/>
      <c r="O56"/>
    </row>
    <row r="57" spans="1:15" ht="15" x14ac:dyDescent="0.25">
      <c r="A57" s="111"/>
      <c r="B57" s="111"/>
      <c r="C57" s="112"/>
      <c r="D57" s="112"/>
      <c r="E57" s="112"/>
      <c r="F57" s="112"/>
      <c r="G57" s="112"/>
      <c r="H57" s="112"/>
      <c r="I57" s="112"/>
      <c r="J57" s="112"/>
      <c r="O57"/>
    </row>
    <row r="58" spans="1:15" ht="15" x14ac:dyDescent="0.25">
      <c r="A58" s="111"/>
      <c r="B58" s="111"/>
      <c r="C58" s="112"/>
      <c r="D58" s="112"/>
      <c r="E58" s="112"/>
      <c r="F58" s="112"/>
      <c r="G58" s="112"/>
      <c r="H58" s="112"/>
      <c r="I58" s="112"/>
      <c r="J58" s="112"/>
      <c r="O58"/>
    </row>
    <row r="59" spans="1:15" ht="15" x14ac:dyDescent="0.25">
      <c r="A59" s="111"/>
      <c r="B59" s="111"/>
      <c r="C59" s="112"/>
      <c r="D59" s="112"/>
      <c r="E59" s="112"/>
      <c r="F59" s="112"/>
      <c r="G59" s="112"/>
      <c r="H59" s="112"/>
      <c r="I59" s="112"/>
      <c r="J59" s="112"/>
      <c r="O59"/>
    </row>
    <row r="60" spans="1:15" x14ac:dyDescent="0.2">
      <c r="A60" s="111"/>
      <c r="B60" s="111"/>
      <c r="C60" s="112"/>
      <c r="D60" s="112"/>
      <c r="E60" s="112"/>
      <c r="F60" s="112"/>
      <c r="G60" s="112"/>
      <c r="H60" s="112"/>
      <c r="I60" s="112"/>
      <c r="J60" s="112"/>
    </row>
  </sheetData>
  <mergeCells count="20">
    <mergeCell ref="V13:Y13"/>
    <mergeCell ref="V2:Y2"/>
    <mergeCell ref="V5:Y5"/>
    <mergeCell ref="V8:Y8"/>
    <mergeCell ref="V10:Y10"/>
    <mergeCell ref="A29:C29"/>
    <mergeCell ref="V29:Y29"/>
    <mergeCell ref="V15:Y15"/>
    <mergeCell ref="V17:Y17"/>
    <mergeCell ref="V19:Y19"/>
    <mergeCell ref="V20:Y20"/>
    <mergeCell ref="V21:Y21"/>
    <mergeCell ref="A24:B24"/>
    <mergeCell ref="D24:H24"/>
    <mergeCell ref="D25:I25"/>
    <mergeCell ref="N24:N40"/>
    <mergeCell ref="D26:F26"/>
    <mergeCell ref="D27:F27"/>
    <mergeCell ref="E28:I28"/>
    <mergeCell ref="V28:Y28"/>
  </mergeCells>
  <pageMargins left="0.39370078740157483" right="0" top="0.74803149606299213" bottom="0.74803149606299213" header="0.31496062992125984" footer="0.31496062992125984"/>
  <pageSetup scale="55" orientation="landscape" r:id="rId1"/>
  <headerFooter>
    <oddHeader xml:space="preserve">&amp;CDECRERO 0302 DEL 5 MARZO 2024  </oddHeader>
  </headerFooter>
  <ignoredErrors>
    <ignoredError sqref="U2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E8A22-027E-42BD-8304-73F255796D40}">
  <sheetPr>
    <pageSetUpPr fitToPage="1"/>
  </sheetPr>
  <dimension ref="A1:WLV134"/>
  <sheetViews>
    <sheetView showGridLines="0" tabSelected="1" topLeftCell="A94" zoomScale="85" zoomScaleNormal="85" workbookViewId="0">
      <selection activeCell="G109" sqref="G109"/>
    </sheetView>
  </sheetViews>
  <sheetFormatPr baseColWidth="10" defaultColWidth="0" defaultRowHeight="0" customHeight="1" zeroHeight="1" x14ac:dyDescent="0.2"/>
  <cols>
    <col min="1" max="1" width="6.28515625" style="1" customWidth="1"/>
    <col min="2" max="2" width="31.85546875" style="152" customWidth="1"/>
    <col min="3" max="3" width="4.85546875" style="13" customWidth="1"/>
    <col min="4" max="4" width="3.85546875" style="13" bestFit="1" customWidth="1"/>
    <col min="5" max="11" width="18.7109375" style="1" customWidth="1"/>
    <col min="12" max="12" width="21.140625" style="1" customWidth="1"/>
    <col min="13" max="14" width="18.7109375" style="1" customWidth="1"/>
    <col min="15" max="15" width="13.85546875" style="1" customWidth="1"/>
    <col min="16" max="16" width="14.7109375" style="1" customWidth="1"/>
    <col min="17" max="17" width="18.7109375" style="141" customWidth="1"/>
    <col min="18" max="18" width="6.28515625" style="1" customWidth="1"/>
    <col min="19" max="19" width="11.42578125" style="1" hidden="1" customWidth="1"/>
    <col min="20" max="20" width="11.42578125" style="139" hidden="1" customWidth="1"/>
    <col min="21" max="256" width="11.42578125" style="1" hidden="1" customWidth="1"/>
    <col min="257" max="257" width="10.5703125" style="1" hidden="1" customWidth="1"/>
    <col min="258" max="258" width="6.28515625" style="1" hidden="1" customWidth="1"/>
    <col min="259" max="259" width="37.140625" style="1" hidden="1" customWidth="1"/>
    <col min="260" max="260" width="8.140625" style="1" hidden="1" customWidth="1"/>
    <col min="261" max="261" width="11.42578125" style="1" hidden="1" customWidth="1"/>
    <col min="262" max="262" width="11.7109375" style="1" hidden="1" customWidth="1"/>
    <col min="263" max="263" width="14.85546875" style="1" hidden="1" customWidth="1"/>
    <col min="264" max="264" width="13.28515625" style="1" hidden="1" customWidth="1"/>
    <col min="265" max="265" width="5.85546875" style="1" hidden="1" customWidth="1"/>
    <col min="266" max="266" width="11.42578125" style="1" hidden="1" customWidth="1"/>
    <col min="267" max="513" width="0" style="1" hidden="1"/>
    <col min="514" max="514" width="6.28515625" style="1" hidden="1" customWidth="1"/>
    <col min="515" max="515" width="37.140625" style="1" hidden="1" customWidth="1"/>
    <col min="516" max="516" width="8.140625" style="1" hidden="1" customWidth="1"/>
    <col min="517" max="517" width="11.42578125" style="1" hidden="1" customWidth="1"/>
    <col min="518" max="518" width="11.7109375" style="1" hidden="1" customWidth="1"/>
    <col min="519" max="519" width="14.85546875" style="1" hidden="1" customWidth="1"/>
    <col min="520" max="520" width="13.28515625" style="1" hidden="1" customWidth="1"/>
    <col min="521" max="521" width="5.85546875" style="1" hidden="1" customWidth="1"/>
    <col min="522" max="522" width="11.42578125" style="1" hidden="1" customWidth="1"/>
    <col min="523" max="769" width="0" style="1" hidden="1"/>
    <col min="770" max="770" width="6.28515625" style="1" hidden="1" customWidth="1"/>
    <col min="771" max="771" width="37.140625" style="1" hidden="1" customWidth="1"/>
    <col min="772" max="772" width="8.140625" style="1" hidden="1" customWidth="1"/>
    <col min="773" max="773" width="11.42578125" style="1" hidden="1" customWidth="1"/>
    <col min="774" max="774" width="11.7109375" style="1" hidden="1" customWidth="1"/>
    <col min="775" max="775" width="14.85546875" style="1" hidden="1" customWidth="1"/>
    <col min="776" max="776" width="13.28515625" style="1" hidden="1" customWidth="1"/>
    <col min="777" max="777" width="5.85546875" style="1" hidden="1" customWidth="1"/>
    <col min="778" max="778" width="11.42578125" style="1" hidden="1" customWidth="1"/>
    <col min="779" max="1025" width="0" style="1" hidden="1"/>
    <col min="1026" max="1026" width="6.28515625" style="1" hidden="1" customWidth="1"/>
    <col min="1027" max="1027" width="37.140625" style="1" hidden="1" customWidth="1"/>
    <col min="1028" max="1028" width="8.140625" style="1" hidden="1" customWidth="1"/>
    <col min="1029" max="1029" width="11.42578125" style="1" hidden="1" customWidth="1"/>
    <col min="1030" max="1030" width="11.7109375" style="1" hidden="1" customWidth="1"/>
    <col min="1031" max="1031" width="14.85546875" style="1" hidden="1" customWidth="1"/>
    <col min="1032" max="1032" width="13.28515625" style="1" hidden="1" customWidth="1"/>
    <col min="1033" max="1033" width="5.85546875" style="1" hidden="1" customWidth="1"/>
    <col min="1034" max="1034" width="11.42578125" style="1" hidden="1" customWidth="1"/>
    <col min="1035" max="1281" width="0" style="1" hidden="1"/>
    <col min="1282" max="1282" width="6.28515625" style="1" hidden="1" customWidth="1"/>
    <col min="1283" max="1283" width="37.140625" style="1" hidden="1" customWidth="1"/>
    <col min="1284" max="1284" width="8.140625" style="1" hidden="1" customWidth="1"/>
    <col min="1285" max="1285" width="11.42578125" style="1" hidden="1" customWidth="1"/>
    <col min="1286" max="1286" width="11.7109375" style="1" hidden="1" customWidth="1"/>
    <col min="1287" max="1287" width="14.85546875" style="1" hidden="1" customWidth="1"/>
    <col min="1288" max="1288" width="13.28515625" style="1" hidden="1" customWidth="1"/>
    <col min="1289" max="1289" width="5.85546875" style="1" hidden="1" customWidth="1"/>
    <col min="1290" max="1290" width="11.42578125" style="1" hidden="1" customWidth="1"/>
    <col min="1291" max="1537" width="0" style="1" hidden="1"/>
    <col min="1538" max="1538" width="6.28515625" style="1" hidden="1" customWidth="1"/>
    <col min="1539" max="1539" width="37.140625" style="1" hidden="1" customWidth="1"/>
    <col min="1540" max="1540" width="8.140625" style="1" hidden="1" customWidth="1"/>
    <col min="1541" max="1541" width="11.42578125" style="1" hidden="1" customWidth="1"/>
    <col min="1542" max="1542" width="11.7109375" style="1" hidden="1" customWidth="1"/>
    <col min="1543" max="1543" width="14.85546875" style="1" hidden="1" customWidth="1"/>
    <col min="1544" max="1544" width="13.28515625" style="1" hidden="1" customWidth="1"/>
    <col min="1545" max="1545" width="5.85546875" style="1" hidden="1" customWidth="1"/>
    <col min="1546" max="1546" width="11.42578125" style="1" hidden="1" customWidth="1"/>
    <col min="1547" max="1793" width="0" style="1" hidden="1"/>
    <col min="1794" max="1794" width="6.28515625" style="1" hidden="1" customWidth="1"/>
    <col min="1795" max="1795" width="37.140625" style="1" hidden="1" customWidth="1"/>
    <col min="1796" max="1796" width="8.140625" style="1" hidden="1" customWidth="1"/>
    <col min="1797" max="1797" width="11.42578125" style="1" hidden="1" customWidth="1"/>
    <col min="1798" max="1798" width="11.7109375" style="1" hidden="1" customWidth="1"/>
    <col min="1799" max="1799" width="14.85546875" style="1" hidden="1" customWidth="1"/>
    <col min="1800" max="1800" width="13.28515625" style="1" hidden="1" customWidth="1"/>
    <col min="1801" max="1801" width="5.85546875" style="1" hidden="1" customWidth="1"/>
    <col min="1802" max="1802" width="11.42578125" style="1" hidden="1" customWidth="1"/>
    <col min="1803" max="2049" width="0" style="1" hidden="1"/>
    <col min="2050" max="2050" width="6.28515625" style="1" hidden="1" customWidth="1"/>
    <col min="2051" max="2051" width="37.140625" style="1" hidden="1" customWidth="1"/>
    <col min="2052" max="2052" width="8.140625" style="1" hidden="1" customWidth="1"/>
    <col min="2053" max="2053" width="11.42578125" style="1" hidden="1" customWidth="1"/>
    <col min="2054" max="2054" width="11.7109375" style="1" hidden="1" customWidth="1"/>
    <col min="2055" max="2055" width="14.85546875" style="1" hidden="1" customWidth="1"/>
    <col min="2056" max="2056" width="13.28515625" style="1" hidden="1" customWidth="1"/>
    <col min="2057" max="2057" width="5.85546875" style="1" hidden="1" customWidth="1"/>
    <col min="2058" max="2058" width="11.42578125" style="1" hidden="1" customWidth="1"/>
    <col min="2059" max="2305" width="0" style="1" hidden="1"/>
    <col min="2306" max="2306" width="6.28515625" style="1" hidden="1" customWidth="1"/>
    <col min="2307" max="2307" width="37.140625" style="1" hidden="1" customWidth="1"/>
    <col min="2308" max="2308" width="8.140625" style="1" hidden="1" customWidth="1"/>
    <col min="2309" max="2309" width="11.42578125" style="1" hidden="1" customWidth="1"/>
    <col min="2310" max="2310" width="11.7109375" style="1" hidden="1" customWidth="1"/>
    <col min="2311" max="2311" width="14.85546875" style="1" hidden="1" customWidth="1"/>
    <col min="2312" max="2312" width="13.28515625" style="1" hidden="1" customWidth="1"/>
    <col min="2313" max="2313" width="5.85546875" style="1" hidden="1" customWidth="1"/>
    <col min="2314" max="2314" width="11.42578125" style="1" hidden="1" customWidth="1"/>
    <col min="2315" max="2561" width="0" style="1" hidden="1"/>
    <col min="2562" max="2562" width="6.28515625" style="1" hidden="1" customWidth="1"/>
    <col min="2563" max="2563" width="37.140625" style="1" hidden="1" customWidth="1"/>
    <col min="2564" max="2564" width="8.140625" style="1" hidden="1" customWidth="1"/>
    <col min="2565" max="2565" width="11.42578125" style="1" hidden="1" customWidth="1"/>
    <col min="2566" max="2566" width="11.7109375" style="1" hidden="1" customWidth="1"/>
    <col min="2567" max="2567" width="14.85546875" style="1" hidden="1" customWidth="1"/>
    <col min="2568" max="2568" width="13.28515625" style="1" hidden="1" customWidth="1"/>
    <col min="2569" max="2569" width="5.85546875" style="1" hidden="1" customWidth="1"/>
    <col min="2570" max="2570" width="11.42578125" style="1" hidden="1" customWidth="1"/>
    <col min="2571" max="2817" width="0" style="1" hidden="1"/>
    <col min="2818" max="2818" width="6.28515625" style="1" hidden="1" customWidth="1"/>
    <col min="2819" max="2819" width="37.140625" style="1" hidden="1" customWidth="1"/>
    <col min="2820" max="2820" width="8.140625" style="1" hidden="1" customWidth="1"/>
    <col min="2821" max="2821" width="11.42578125" style="1" hidden="1" customWidth="1"/>
    <col min="2822" max="2822" width="11.7109375" style="1" hidden="1" customWidth="1"/>
    <col min="2823" max="2823" width="14.85546875" style="1" hidden="1" customWidth="1"/>
    <col min="2824" max="2824" width="13.28515625" style="1" hidden="1" customWidth="1"/>
    <col min="2825" max="2825" width="5.85546875" style="1" hidden="1" customWidth="1"/>
    <col min="2826" max="2826" width="11.42578125" style="1" hidden="1" customWidth="1"/>
    <col min="2827" max="3073" width="0" style="1" hidden="1"/>
    <col min="3074" max="3074" width="6.28515625" style="1" hidden="1" customWidth="1"/>
    <col min="3075" max="3075" width="37.140625" style="1" hidden="1" customWidth="1"/>
    <col min="3076" max="3076" width="8.140625" style="1" hidden="1" customWidth="1"/>
    <col min="3077" max="3077" width="11.42578125" style="1" hidden="1" customWidth="1"/>
    <col min="3078" max="3078" width="11.7109375" style="1" hidden="1" customWidth="1"/>
    <col min="3079" max="3079" width="14.85546875" style="1" hidden="1" customWidth="1"/>
    <col min="3080" max="3080" width="13.28515625" style="1" hidden="1" customWidth="1"/>
    <col min="3081" max="3081" width="5.85546875" style="1" hidden="1" customWidth="1"/>
    <col min="3082" max="3082" width="11.42578125" style="1" hidden="1" customWidth="1"/>
    <col min="3083" max="3329" width="0" style="1" hidden="1"/>
    <col min="3330" max="3330" width="6.28515625" style="1" hidden="1" customWidth="1"/>
    <col min="3331" max="3331" width="37.140625" style="1" hidden="1" customWidth="1"/>
    <col min="3332" max="3332" width="8.140625" style="1" hidden="1" customWidth="1"/>
    <col min="3333" max="3333" width="11.42578125" style="1" hidden="1" customWidth="1"/>
    <col min="3334" max="3334" width="11.7109375" style="1" hidden="1" customWidth="1"/>
    <col min="3335" max="3335" width="14.85546875" style="1" hidden="1" customWidth="1"/>
    <col min="3336" max="3336" width="13.28515625" style="1" hidden="1" customWidth="1"/>
    <col min="3337" max="3337" width="5.85546875" style="1" hidden="1" customWidth="1"/>
    <col min="3338" max="3338" width="11.42578125" style="1" hidden="1" customWidth="1"/>
    <col min="3339" max="3585" width="0" style="1" hidden="1"/>
    <col min="3586" max="3586" width="6.28515625" style="1" hidden="1" customWidth="1"/>
    <col min="3587" max="3587" width="37.140625" style="1" hidden="1" customWidth="1"/>
    <col min="3588" max="3588" width="8.140625" style="1" hidden="1" customWidth="1"/>
    <col min="3589" max="3589" width="11.42578125" style="1" hidden="1" customWidth="1"/>
    <col min="3590" max="3590" width="11.7109375" style="1" hidden="1" customWidth="1"/>
    <col min="3591" max="3591" width="14.85546875" style="1" hidden="1" customWidth="1"/>
    <col min="3592" max="3592" width="13.28515625" style="1" hidden="1" customWidth="1"/>
    <col min="3593" max="3593" width="5.85546875" style="1" hidden="1" customWidth="1"/>
    <col min="3594" max="3594" width="11.42578125" style="1" hidden="1" customWidth="1"/>
    <col min="3595" max="3841" width="0" style="1" hidden="1"/>
    <col min="3842" max="3842" width="6.28515625" style="1" hidden="1" customWidth="1"/>
    <col min="3843" max="3843" width="37.140625" style="1" hidden="1" customWidth="1"/>
    <col min="3844" max="3844" width="8.140625" style="1" hidden="1" customWidth="1"/>
    <col min="3845" max="3845" width="11.42578125" style="1" hidden="1" customWidth="1"/>
    <col min="3846" max="3846" width="11.7109375" style="1" hidden="1" customWidth="1"/>
    <col min="3847" max="3847" width="14.85546875" style="1" hidden="1" customWidth="1"/>
    <col min="3848" max="3848" width="13.28515625" style="1" hidden="1" customWidth="1"/>
    <col min="3849" max="3849" width="5.85546875" style="1" hidden="1" customWidth="1"/>
    <col min="3850" max="3850" width="11.42578125" style="1" hidden="1" customWidth="1"/>
    <col min="3851" max="4097" width="0" style="1" hidden="1"/>
    <col min="4098" max="4098" width="6.28515625" style="1" hidden="1" customWidth="1"/>
    <col min="4099" max="4099" width="37.140625" style="1" hidden="1" customWidth="1"/>
    <col min="4100" max="4100" width="8.140625" style="1" hidden="1" customWidth="1"/>
    <col min="4101" max="4101" width="11.42578125" style="1" hidden="1" customWidth="1"/>
    <col min="4102" max="4102" width="11.7109375" style="1" hidden="1" customWidth="1"/>
    <col min="4103" max="4103" width="14.85546875" style="1" hidden="1" customWidth="1"/>
    <col min="4104" max="4104" width="13.28515625" style="1" hidden="1" customWidth="1"/>
    <col min="4105" max="4105" width="5.85546875" style="1" hidden="1" customWidth="1"/>
    <col min="4106" max="4106" width="11.42578125" style="1" hidden="1" customWidth="1"/>
    <col min="4107" max="4353" width="0" style="1" hidden="1"/>
    <col min="4354" max="4354" width="6.28515625" style="1" hidden="1" customWidth="1"/>
    <col min="4355" max="4355" width="37.140625" style="1" hidden="1" customWidth="1"/>
    <col min="4356" max="4356" width="8.140625" style="1" hidden="1" customWidth="1"/>
    <col min="4357" max="4357" width="11.42578125" style="1" hidden="1" customWidth="1"/>
    <col min="4358" max="4358" width="11.7109375" style="1" hidden="1" customWidth="1"/>
    <col min="4359" max="4359" width="14.85546875" style="1" hidden="1" customWidth="1"/>
    <col min="4360" max="4360" width="13.28515625" style="1" hidden="1" customWidth="1"/>
    <col min="4361" max="4361" width="5.85546875" style="1" hidden="1" customWidth="1"/>
    <col min="4362" max="4362" width="11.42578125" style="1" hidden="1" customWidth="1"/>
    <col min="4363" max="4609" width="0" style="1" hidden="1"/>
    <col min="4610" max="4610" width="6.28515625" style="1" hidden="1" customWidth="1"/>
    <col min="4611" max="4611" width="37.140625" style="1" hidden="1" customWidth="1"/>
    <col min="4612" max="4612" width="8.140625" style="1" hidden="1" customWidth="1"/>
    <col min="4613" max="4613" width="11.42578125" style="1" hidden="1" customWidth="1"/>
    <col min="4614" max="4614" width="11.7109375" style="1" hidden="1" customWidth="1"/>
    <col min="4615" max="4615" width="14.85546875" style="1" hidden="1" customWidth="1"/>
    <col min="4616" max="4616" width="13.28515625" style="1" hidden="1" customWidth="1"/>
    <col min="4617" max="4617" width="5.85546875" style="1" hidden="1" customWidth="1"/>
    <col min="4618" max="4618" width="11.42578125" style="1" hidden="1" customWidth="1"/>
    <col min="4619" max="4865" width="0" style="1" hidden="1"/>
    <col min="4866" max="4866" width="6.28515625" style="1" hidden="1" customWidth="1"/>
    <col min="4867" max="4867" width="37.140625" style="1" hidden="1" customWidth="1"/>
    <col min="4868" max="4868" width="8.140625" style="1" hidden="1" customWidth="1"/>
    <col min="4869" max="4869" width="11.42578125" style="1" hidden="1" customWidth="1"/>
    <col min="4870" max="4870" width="11.7109375" style="1" hidden="1" customWidth="1"/>
    <col min="4871" max="4871" width="14.85546875" style="1" hidden="1" customWidth="1"/>
    <col min="4872" max="4872" width="13.28515625" style="1" hidden="1" customWidth="1"/>
    <col min="4873" max="4873" width="5.85546875" style="1" hidden="1" customWidth="1"/>
    <col min="4874" max="4874" width="11.42578125" style="1" hidden="1" customWidth="1"/>
    <col min="4875" max="5121" width="0" style="1" hidden="1"/>
    <col min="5122" max="5122" width="6.28515625" style="1" hidden="1" customWidth="1"/>
    <col min="5123" max="5123" width="37.140625" style="1" hidden="1" customWidth="1"/>
    <col min="5124" max="5124" width="8.140625" style="1" hidden="1" customWidth="1"/>
    <col min="5125" max="5125" width="11.42578125" style="1" hidden="1" customWidth="1"/>
    <col min="5126" max="5126" width="11.7109375" style="1" hidden="1" customWidth="1"/>
    <col min="5127" max="5127" width="14.85546875" style="1" hidden="1" customWidth="1"/>
    <col min="5128" max="5128" width="13.28515625" style="1" hidden="1" customWidth="1"/>
    <col min="5129" max="5129" width="5.85546875" style="1" hidden="1" customWidth="1"/>
    <col min="5130" max="5130" width="11.42578125" style="1" hidden="1" customWidth="1"/>
    <col min="5131" max="5377" width="0" style="1" hidden="1"/>
    <col min="5378" max="5378" width="6.28515625" style="1" hidden="1" customWidth="1"/>
    <col min="5379" max="5379" width="37.140625" style="1" hidden="1" customWidth="1"/>
    <col min="5380" max="5380" width="8.140625" style="1" hidden="1" customWidth="1"/>
    <col min="5381" max="5381" width="11.42578125" style="1" hidden="1" customWidth="1"/>
    <col min="5382" max="5382" width="11.7109375" style="1" hidden="1" customWidth="1"/>
    <col min="5383" max="5383" width="14.85546875" style="1" hidden="1" customWidth="1"/>
    <col min="5384" max="5384" width="13.28515625" style="1" hidden="1" customWidth="1"/>
    <col min="5385" max="5385" width="5.85546875" style="1" hidden="1" customWidth="1"/>
    <col min="5386" max="5386" width="11.42578125" style="1" hidden="1" customWidth="1"/>
    <col min="5387" max="5633" width="0" style="1" hidden="1"/>
    <col min="5634" max="5634" width="6.28515625" style="1" hidden="1" customWidth="1"/>
    <col min="5635" max="5635" width="37.140625" style="1" hidden="1" customWidth="1"/>
    <col min="5636" max="5636" width="8.140625" style="1" hidden="1" customWidth="1"/>
    <col min="5637" max="5637" width="11.42578125" style="1" hidden="1" customWidth="1"/>
    <col min="5638" max="5638" width="11.7109375" style="1" hidden="1" customWidth="1"/>
    <col min="5639" max="5639" width="14.85546875" style="1" hidden="1" customWidth="1"/>
    <col min="5640" max="5640" width="13.28515625" style="1" hidden="1" customWidth="1"/>
    <col min="5641" max="5641" width="5.85546875" style="1" hidden="1" customWidth="1"/>
    <col min="5642" max="5642" width="11.42578125" style="1" hidden="1" customWidth="1"/>
    <col min="5643" max="5889" width="0" style="1" hidden="1"/>
    <col min="5890" max="5890" width="6.28515625" style="1" hidden="1" customWidth="1"/>
    <col min="5891" max="5891" width="37.140625" style="1" hidden="1" customWidth="1"/>
    <col min="5892" max="5892" width="8.140625" style="1" hidden="1" customWidth="1"/>
    <col min="5893" max="5893" width="11.42578125" style="1" hidden="1" customWidth="1"/>
    <col min="5894" max="5894" width="11.7109375" style="1" hidden="1" customWidth="1"/>
    <col min="5895" max="5895" width="14.85546875" style="1" hidden="1" customWidth="1"/>
    <col min="5896" max="5896" width="13.28515625" style="1" hidden="1" customWidth="1"/>
    <col min="5897" max="5897" width="5.85546875" style="1" hidden="1" customWidth="1"/>
    <col min="5898" max="5898" width="11.42578125" style="1" hidden="1" customWidth="1"/>
    <col min="5899" max="6145" width="0" style="1" hidden="1"/>
    <col min="6146" max="6146" width="6.28515625" style="1" hidden="1" customWidth="1"/>
    <col min="6147" max="6147" width="37.140625" style="1" hidden="1" customWidth="1"/>
    <col min="6148" max="6148" width="8.140625" style="1" hidden="1" customWidth="1"/>
    <col min="6149" max="6149" width="11.42578125" style="1" hidden="1" customWidth="1"/>
    <col min="6150" max="6150" width="11.7109375" style="1" hidden="1" customWidth="1"/>
    <col min="6151" max="6151" width="14.85546875" style="1" hidden="1" customWidth="1"/>
    <col min="6152" max="6152" width="13.28515625" style="1" hidden="1" customWidth="1"/>
    <col min="6153" max="6153" width="5.85546875" style="1" hidden="1" customWidth="1"/>
    <col min="6154" max="6154" width="11.42578125" style="1" hidden="1" customWidth="1"/>
    <col min="6155" max="6401" width="0" style="1" hidden="1"/>
    <col min="6402" max="6402" width="6.28515625" style="1" hidden="1" customWidth="1"/>
    <col min="6403" max="6403" width="37.140625" style="1" hidden="1" customWidth="1"/>
    <col min="6404" max="6404" width="8.140625" style="1" hidden="1" customWidth="1"/>
    <col min="6405" max="6405" width="11.42578125" style="1" hidden="1" customWidth="1"/>
    <col min="6406" max="6406" width="11.7109375" style="1" hidden="1" customWidth="1"/>
    <col min="6407" max="6407" width="14.85546875" style="1" hidden="1" customWidth="1"/>
    <col min="6408" max="6408" width="13.28515625" style="1" hidden="1" customWidth="1"/>
    <col min="6409" max="6409" width="5.85546875" style="1" hidden="1" customWidth="1"/>
    <col min="6410" max="6410" width="11.42578125" style="1" hidden="1" customWidth="1"/>
    <col min="6411" max="6657" width="0" style="1" hidden="1"/>
    <col min="6658" max="6658" width="6.28515625" style="1" hidden="1" customWidth="1"/>
    <col min="6659" max="6659" width="37.140625" style="1" hidden="1" customWidth="1"/>
    <col min="6660" max="6660" width="8.140625" style="1" hidden="1" customWidth="1"/>
    <col min="6661" max="6661" width="11.42578125" style="1" hidden="1" customWidth="1"/>
    <col min="6662" max="6662" width="11.7109375" style="1" hidden="1" customWidth="1"/>
    <col min="6663" max="6663" width="14.85546875" style="1" hidden="1" customWidth="1"/>
    <col min="6664" max="6664" width="13.28515625" style="1" hidden="1" customWidth="1"/>
    <col min="6665" max="6665" width="5.85546875" style="1" hidden="1" customWidth="1"/>
    <col min="6666" max="6666" width="11.42578125" style="1" hidden="1" customWidth="1"/>
    <col min="6667" max="6913" width="0" style="1" hidden="1"/>
    <col min="6914" max="6914" width="6.28515625" style="1" hidden="1" customWidth="1"/>
    <col min="6915" max="6915" width="37.140625" style="1" hidden="1" customWidth="1"/>
    <col min="6916" max="6916" width="8.140625" style="1" hidden="1" customWidth="1"/>
    <col min="6917" max="6917" width="11.42578125" style="1" hidden="1" customWidth="1"/>
    <col min="6918" max="6918" width="11.7109375" style="1" hidden="1" customWidth="1"/>
    <col min="6919" max="6919" width="14.85546875" style="1" hidden="1" customWidth="1"/>
    <col min="6920" max="6920" width="13.28515625" style="1" hidden="1" customWidth="1"/>
    <col min="6921" max="6921" width="5.85546875" style="1" hidden="1" customWidth="1"/>
    <col min="6922" max="6922" width="11.42578125" style="1" hidden="1" customWidth="1"/>
    <col min="6923" max="7169" width="0" style="1" hidden="1"/>
    <col min="7170" max="7170" width="6.28515625" style="1" hidden="1" customWidth="1"/>
    <col min="7171" max="7171" width="37.140625" style="1" hidden="1" customWidth="1"/>
    <col min="7172" max="7172" width="8.140625" style="1" hidden="1" customWidth="1"/>
    <col min="7173" max="7173" width="11.42578125" style="1" hidden="1" customWidth="1"/>
    <col min="7174" max="7174" width="11.7109375" style="1" hidden="1" customWidth="1"/>
    <col min="7175" max="7175" width="14.85546875" style="1" hidden="1" customWidth="1"/>
    <col min="7176" max="7176" width="13.28515625" style="1" hidden="1" customWidth="1"/>
    <col min="7177" max="7177" width="5.85546875" style="1" hidden="1" customWidth="1"/>
    <col min="7178" max="7178" width="11.42578125" style="1" hidden="1" customWidth="1"/>
    <col min="7179" max="7425" width="0" style="1" hidden="1"/>
    <col min="7426" max="7426" width="6.28515625" style="1" hidden="1" customWidth="1"/>
    <col min="7427" max="7427" width="37.140625" style="1" hidden="1" customWidth="1"/>
    <col min="7428" max="7428" width="8.140625" style="1" hidden="1" customWidth="1"/>
    <col min="7429" max="7429" width="11.42578125" style="1" hidden="1" customWidth="1"/>
    <col min="7430" max="7430" width="11.7109375" style="1" hidden="1" customWidth="1"/>
    <col min="7431" max="7431" width="14.85546875" style="1" hidden="1" customWidth="1"/>
    <col min="7432" max="7432" width="13.28515625" style="1" hidden="1" customWidth="1"/>
    <col min="7433" max="7433" width="5.85546875" style="1" hidden="1" customWidth="1"/>
    <col min="7434" max="7434" width="11.42578125" style="1" hidden="1" customWidth="1"/>
    <col min="7435" max="7681" width="0" style="1" hidden="1"/>
    <col min="7682" max="7682" width="6.28515625" style="1" hidden="1" customWidth="1"/>
    <col min="7683" max="7683" width="37.140625" style="1" hidden="1" customWidth="1"/>
    <col min="7684" max="7684" width="8.140625" style="1" hidden="1" customWidth="1"/>
    <col min="7685" max="7685" width="11.42578125" style="1" hidden="1" customWidth="1"/>
    <col min="7686" max="7686" width="11.7109375" style="1" hidden="1" customWidth="1"/>
    <col min="7687" max="7687" width="14.85546875" style="1" hidden="1" customWidth="1"/>
    <col min="7688" max="7688" width="13.28515625" style="1" hidden="1" customWidth="1"/>
    <col min="7689" max="7689" width="5.85546875" style="1" hidden="1" customWidth="1"/>
    <col min="7690" max="7690" width="11.42578125" style="1" hidden="1" customWidth="1"/>
    <col min="7691" max="7937" width="0" style="1" hidden="1"/>
    <col min="7938" max="7938" width="6.28515625" style="1" hidden="1" customWidth="1"/>
    <col min="7939" max="7939" width="37.140625" style="1" hidden="1" customWidth="1"/>
    <col min="7940" max="7940" width="8.140625" style="1" hidden="1" customWidth="1"/>
    <col min="7941" max="7941" width="11.42578125" style="1" hidden="1" customWidth="1"/>
    <col min="7942" max="7942" width="11.7109375" style="1" hidden="1" customWidth="1"/>
    <col min="7943" max="7943" width="14.85546875" style="1" hidden="1" customWidth="1"/>
    <col min="7944" max="7944" width="13.28515625" style="1" hidden="1" customWidth="1"/>
    <col min="7945" max="7945" width="5.85546875" style="1" hidden="1" customWidth="1"/>
    <col min="7946" max="7946" width="11.42578125" style="1" hidden="1" customWidth="1"/>
    <col min="7947" max="8193" width="0" style="1" hidden="1"/>
    <col min="8194" max="8194" width="6.28515625" style="1" hidden="1" customWidth="1"/>
    <col min="8195" max="8195" width="37.140625" style="1" hidden="1" customWidth="1"/>
    <col min="8196" max="8196" width="8.140625" style="1" hidden="1" customWidth="1"/>
    <col min="8197" max="8197" width="11.42578125" style="1" hidden="1" customWidth="1"/>
    <col min="8198" max="8198" width="11.7109375" style="1" hidden="1" customWidth="1"/>
    <col min="8199" max="8199" width="14.85546875" style="1" hidden="1" customWidth="1"/>
    <col min="8200" max="8200" width="13.28515625" style="1" hidden="1" customWidth="1"/>
    <col min="8201" max="8201" width="5.85546875" style="1" hidden="1" customWidth="1"/>
    <col min="8202" max="8202" width="11.42578125" style="1" hidden="1" customWidth="1"/>
    <col min="8203" max="8449" width="0" style="1" hidden="1"/>
    <col min="8450" max="8450" width="6.28515625" style="1" hidden="1" customWidth="1"/>
    <col min="8451" max="8451" width="37.140625" style="1" hidden="1" customWidth="1"/>
    <col min="8452" max="8452" width="8.140625" style="1" hidden="1" customWidth="1"/>
    <col min="8453" max="8453" width="11.42578125" style="1" hidden="1" customWidth="1"/>
    <col min="8454" max="8454" width="11.7109375" style="1" hidden="1" customWidth="1"/>
    <col min="8455" max="8455" width="14.85546875" style="1" hidden="1" customWidth="1"/>
    <col min="8456" max="8456" width="13.28515625" style="1" hidden="1" customWidth="1"/>
    <col min="8457" max="8457" width="5.85546875" style="1" hidden="1" customWidth="1"/>
    <col min="8458" max="8458" width="11.42578125" style="1" hidden="1" customWidth="1"/>
    <col min="8459" max="8705" width="0" style="1" hidden="1"/>
    <col min="8706" max="8706" width="6.28515625" style="1" hidden="1" customWidth="1"/>
    <col min="8707" max="8707" width="37.140625" style="1" hidden="1" customWidth="1"/>
    <col min="8708" max="8708" width="8.140625" style="1" hidden="1" customWidth="1"/>
    <col min="8709" max="8709" width="11.42578125" style="1" hidden="1" customWidth="1"/>
    <col min="8710" max="8710" width="11.7109375" style="1" hidden="1" customWidth="1"/>
    <col min="8711" max="8711" width="14.85546875" style="1" hidden="1" customWidth="1"/>
    <col min="8712" max="8712" width="13.28515625" style="1" hidden="1" customWidth="1"/>
    <col min="8713" max="8713" width="5.85546875" style="1" hidden="1" customWidth="1"/>
    <col min="8714" max="8714" width="11.42578125" style="1" hidden="1" customWidth="1"/>
    <col min="8715" max="8961" width="0" style="1" hidden="1"/>
    <col min="8962" max="8962" width="6.28515625" style="1" hidden="1" customWidth="1"/>
    <col min="8963" max="8963" width="37.140625" style="1" hidden="1" customWidth="1"/>
    <col min="8964" max="8964" width="8.140625" style="1" hidden="1" customWidth="1"/>
    <col min="8965" max="8965" width="11.42578125" style="1" hidden="1" customWidth="1"/>
    <col min="8966" max="8966" width="11.7109375" style="1" hidden="1" customWidth="1"/>
    <col min="8967" max="8967" width="14.85546875" style="1" hidden="1" customWidth="1"/>
    <col min="8968" max="8968" width="13.28515625" style="1" hidden="1" customWidth="1"/>
    <col min="8969" max="8969" width="5.85546875" style="1" hidden="1" customWidth="1"/>
    <col min="8970" max="8970" width="11.42578125" style="1" hidden="1" customWidth="1"/>
    <col min="8971" max="9217" width="0" style="1" hidden="1"/>
    <col min="9218" max="9218" width="6.28515625" style="1" hidden="1" customWidth="1"/>
    <col min="9219" max="9219" width="37.140625" style="1" hidden="1" customWidth="1"/>
    <col min="9220" max="9220" width="8.140625" style="1" hidden="1" customWidth="1"/>
    <col min="9221" max="9221" width="11.42578125" style="1" hidden="1" customWidth="1"/>
    <col min="9222" max="9222" width="11.7109375" style="1" hidden="1" customWidth="1"/>
    <col min="9223" max="9223" width="14.85546875" style="1" hidden="1" customWidth="1"/>
    <col min="9224" max="9224" width="13.28515625" style="1" hidden="1" customWidth="1"/>
    <col min="9225" max="9225" width="5.85546875" style="1" hidden="1" customWidth="1"/>
    <col min="9226" max="9226" width="11.42578125" style="1" hidden="1" customWidth="1"/>
    <col min="9227" max="9473" width="0" style="1" hidden="1"/>
    <col min="9474" max="9474" width="6.28515625" style="1" hidden="1" customWidth="1"/>
    <col min="9475" max="9475" width="37.140625" style="1" hidden="1" customWidth="1"/>
    <col min="9476" max="9476" width="8.140625" style="1" hidden="1" customWidth="1"/>
    <col min="9477" max="9477" width="11.42578125" style="1" hidden="1" customWidth="1"/>
    <col min="9478" max="9478" width="11.7109375" style="1" hidden="1" customWidth="1"/>
    <col min="9479" max="9479" width="14.85546875" style="1" hidden="1" customWidth="1"/>
    <col min="9480" max="9480" width="13.28515625" style="1" hidden="1" customWidth="1"/>
    <col min="9481" max="9481" width="5.85546875" style="1" hidden="1" customWidth="1"/>
    <col min="9482" max="9482" width="11.42578125" style="1" hidden="1" customWidth="1"/>
    <col min="9483" max="9729" width="0" style="1" hidden="1"/>
    <col min="9730" max="9730" width="6.28515625" style="1" hidden="1" customWidth="1"/>
    <col min="9731" max="9731" width="37.140625" style="1" hidden="1" customWidth="1"/>
    <col min="9732" max="9732" width="8.140625" style="1" hidden="1" customWidth="1"/>
    <col min="9733" max="9733" width="11.42578125" style="1" hidden="1" customWidth="1"/>
    <col min="9734" max="9734" width="11.7109375" style="1" hidden="1" customWidth="1"/>
    <col min="9735" max="9735" width="14.85546875" style="1" hidden="1" customWidth="1"/>
    <col min="9736" max="9736" width="13.28515625" style="1" hidden="1" customWidth="1"/>
    <col min="9737" max="9737" width="5.85546875" style="1" hidden="1" customWidth="1"/>
    <col min="9738" max="9738" width="11.42578125" style="1" hidden="1" customWidth="1"/>
    <col min="9739" max="9985" width="0" style="1" hidden="1"/>
    <col min="9986" max="9986" width="6.28515625" style="1" hidden="1" customWidth="1"/>
    <col min="9987" max="9987" width="37.140625" style="1" hidden="1" customWidth="1"/>
    <col min="9988" max="9988" width="8.140625" style="1" hidden="1" customWidth="1"/>
    <col min="9989" max="9989" width="11.42578125" style="1" hidden="1" customWidth="1"/>
    <col min="9990" max="9990" width="11.7109375" style="1" hidden="1" customWidth="1"/>
    <col min="9991" max="9991" width="14.85546875" style="1" hidden="1" customWidth="1"/>
    <col min="9992" max="9992" width="13.28515625" style="1" hidden="1" customWidth="1"/>
    <col min="9993" max="9993" width="5.85546875" style="1" hidden="1" customWidth="1"/>
    <col min="9994" max="9994" width="11.42578125" style="1" hidden="1" customWidth="1"/>
    <col min="9995" max="10241" width="0" style="1" hidden="1"/>
    <col min="10242" max="10242" width="6.28515625" style="1" hidden="1" customWidth="1"/>
    <col min="10243" max="10243" width="37.140625" style="1" hidden="1" customWidth="1"/>
    <col min="10244" max="10244" width="8.140625" style="1" hidden="1" customWidth="1"/>
    <col min="10245" max="10245" width="11.42578125" style="1" hidden="1" customWidth="1"/>
    <col min="10246" max="10246" width="11.7109375" style="1" hidden="1" customWidth="1"/>
    <col min="10247" max="10247" width="14.85546875" style="1" hidden="1" customWidth="1"/>
    <col min="10248" max="10248" width="13.28515625" style="1" hidden="1" customWidth="1"/>
    <col min="10249" max="10249" width="5.85546875" style="1" hidden="1" customWidth="1"/>
    <col min="10250" max="10250" width="11.42578125" style="1" hidden="1" customWidth="1"/>
    <col min="10251" max="10497" width="0" style="1" hidden="1"/>
    <col min="10498" max="10498" width="6.28515625" style="1" hidden="1" customWidth="1"/>
    <col min="10499" max="10499" width="37.140625" style="1" hidden="1" customWidth="1"/>
    <col min="10500" max="10500" width="8.140625" style="1" hidden="1" customWidth="1"/>
    <col min="10501" max="10501" width="11.42578125" style="1" hidden="1" customWidth="1"/>
    <col min="10502" max="10502" width="11.7109375" style="1" hidden="1" customWidth="1"/>
    <col min="10503" max="10503" width="14.85546875" style="1" hidden="1" customWidth="1"/>
    <col min="10504" max="10504" width="13.28515625" style="1" hidden="1" customWidth="1"/>
    <col min="10505" max="10505" width="5.85546875" style="1" hidden="1" customWidth="1"/>
    <col min="10506" max="10506" width="11.42578125" style="1" hidden="1" customWidth="1"/>
    <col min="10507" max="10753" width="0" style="1" hidden="1"/>
    <col min="10754" max="10754" width="6.28515625" style="1" hidden="1" customWidth="1"/>
    <col min="10755" max="10755" width="37.140625" style="1" hidden="1" customWidth="1"/>
    <col min="10756" max="10756" width="8.140625" style="1" hidden="1" customWidth="1"/>
    <col min="10757" max="10757" width="11.42578125" style="1" hidden="1" customWidth="1"/>
    <col min="10758" max="10758" width="11.7109375" style="1" hidden="1" customWidth="1"/>
    <col min="10759" max="10759" width="14.85546875" style="1" hidden="1" customWidth="1"/>
    <col min="10760" max="10760" width="13.28515625" style="1" hidden="1" customWidth="1"/>
    <col min="10761" max="10761" width="5.85546875" style="1" hidden="1" customWidth="1"/>
    <col min="10762" max="10762" width="11.42578125" style="1" hidden="1" customWidth="1"/>
    <col min="10763" max="11009" width="0" style="1" hidden="1"/>
    <col min="11010" max="11010" width="6.28515625" style="1" hidden="1" customWidth="1"/>
    <col min="11011" max="11011" width="37.140625" style="1" hidden="1" customWidth="1"/>
    <col min="11012" max="11012" width="8.140625" style="1" hidden="1" customWidth="1"/>
    <col min="11013" max="11013" width="11.42578125" style="1" hidden="1" customWidth="1"/>
    <col min="11014" max="11014" width="11.7109375" style="1" hidden="1" customWidth="1"/>
    <col min="11015" max="11015" width="14.85546875" style="1" hidden="1" customWidth="1"/>
    <col min="11016" max="11016" width="13.28515625" style="1" hidden="1" customWidth="1"/>
    <col min="11017" max="11017" width="5.85546875" style="1" hidden="1" customWidth="1"/>
    <col min="11018" max="11018" width="11.42578125" style="1" hidden="1" customWidth="1"/>
    <col min="11019" max="11265" width="0" style="1" hidden="1"/>
    <col min="11266" max="11266" width="6.28515625" style="1" hidden="1" customWidth="1"/>
    <col min="11267" max="11267" width="37.140625" style="1" hidden="1" customWidth="1"/>
    <col min="11268" max="11268" width="8.140625" style="1" hidden="1" customWidth="1"/>
    <col min="11269" max="11269" width="11.42578125" style="1" hidden="1" customWidth="1"/>
    <col min="11270" max="11270" width="11.7109375" style="1" hidden="1" customWidth="1"/>
    <col min="11271" max="11271" width="14.85546875" style="1" hidden="1" customWidth="1"/>
    <col min="11272" max="11272" width="13.28515625" style="1" hidden="1" customWidth="1"/>
    <col min="11273" max="11273" width="5.85546875" style="1" hidden="1" customWidth="1"/>
    <col min="11274" max="11274" width="11.42578125" style="1" hidden="1" customWidth="1"/>
    <col min="11275" max="11521" width="0" style="1" hidden="1"/>
    <col min="11522" max="11522" width="6.28515625" style="1" hidden="1" customWidth="1"/>
    <col min="11523" max="11523" width="37.140625" style="1" hidden="1" customWidth="1"/>
    <col min="11524" max="11524" width="8.140625" style="1" hidden="1" customWidth="1"/>
    <col min="11525" max="11525" width="11.42578125" style="1" hidden="1" customWidth="1"/>
    <col min="11526" max="11526" width="11.7109375" style="1" hidden="1" customWidth="1"/>
    <col min="11527" max="11527" width="14.85546875" style="1" hidden="1" customWidth="1"/>
    <col min="11528" max="11528" width="13.28515625" style="1" hidden="1" customWidth="1"/>
    <col min="11529" max="11529" width="5.85546875" style="1" hidden="1" customWidth="1"/>
    <col min="11530" max="11530" width="11.42578125" style="1" hidden="1" customWidth="1"/>
    <col min="11531" max="11777" width="0" style="1" hidden="1"/>
    <col min="11778" max="11778" width="6.28515625" style="1" hidden="1" customWidth="1"/>
    <col min="11779" max="11779" width="37.140625" style="1" hidden="1" customWidth="1"/>
    <col min="11780" max="11780" width="8.140625" style="1" hidden="1" customWidth="1"/>
    <col min="11781" max="11781" width="11.42578125" style="1" hidden="1" customWidth="1"/>
    <col min="11782" max="11782" width="11.7109375" style="1" hidden="1" customWidth="1"/>
    <col min="11783" max="11783" width="14.85546875" style="1" hidden="1" customWidth="1"/>
    <col min="11784" max="11784" width="13.28515625" style="1" hidden="1" customWidth="1"/>
    <col min="11785" max="11785" width="5.85546875" style="1" hidden="1" customWidth="1"/>
    <col min="11786" max="11786" width="11.42578125" style="1" hidden="1" customWidth="1"/>
    <col min="11787" max="12033" width="0" style="1" hidden="1"/>
    <col min="12034" max="12034" width="6.28515625" style="1" hidden="1" customWidth="1"/>
    <col min="12035" max="12035" width="37.140625" style="1" hidden="1" customWidth="1"/>
    <col min="12036" max="12036" width="8.140625" style="1" hidden="1" customWidth="1"/>
    <col min="12037" max="12037" width="11.42578125" style="1" hidden="1" customWidth="1"/>
    <col min="12038" max="12038" width="11.7109375" style="1" hidden="1" customWidth="1"/>
    <col min="12039" max="12039" width="14.85546875" style="1" hidden="1" customWidth="1"/>
    <col min="12040" max="12040" width="13.28515625" style="1" hidden="1" customWidth="1"/>
    <col min="12041" max="12041" width="5.85546875" style="1" hidden="1" customWidth="1"/>
    <col min="12042" max="12042" width="11.42578125" style="1" hidden="1" customWidth="1"/>
    <col min="12043" max="12289" width="0" style="1" hidden="1"/>
    <col min="12290" max="12290" width="6.28515625" style="1" hidden="1" customWidth="1"/>
    <col min="12291" max="12291" width="37.140625" style="1" hidden="1" customWidth="1"/>
    <col min="12292" max="12292" width="8.140625" style="1" hidden="1" customWidth="1"/>
    <col min="12293" max="12293" width="11.42578125" style="1" hidden="1" customWidth="1"/>
    <col min="12294" max="12294" width="11.7109375" style="1" hidden="1" customWidth="1"/>
    <col min="12295" max="12295" width="14.85546875" style="1" hidden="1" customWidth="1"/>
    <col min="12296" max="12296" width="13.28515625" style="1" hidden="1" customWidth="1"/>
    <col min="12297" max="12297" width="5.85546875" style="1" hidden="1" customWidth="1"/>
    <col min="12298" max="12298" width="11.42578125" style="1" hidden="1" customWidth="1"/>
    <col min="12299" max="12545" width="0" style="1" hidden="1"/>
    <col min="12546" max="12546" width="6.28515625" style="1" hidden="1" customWidth="1"/>
    <col min="12547" max="12547" width="37.140625" style="1" hidden="1" customWidth="1"/>
    <col min="12548" max="12548" width="8.140625" style="1" hidden="1" customWidth="1"/>
    <col min="12549" max="12549" width="11.42578125" style="1" hidden="1" customWidth="1"/>
    <col min="12550" max="12550" width="11.7109375" style="1" hidden="1" customWidth="1"/>
    <col min="12551" max="12551" width="14.85546875" style="1" hidden="1" customWidth="1"/>
    <col min="12552" max="12552" width="13.28515625" style="1" hidden="1" customWidth="1"/>
    <col min="12553" max="12553" width="5.85546875" style="1" hidden="1" customWidth="1"/>
    <col min="12554" max="12554" width="11.42578125" style="1" hidden="1" customWidth="1"/>
    <col min="12555" max="12801" width="0" style="1" hidden="1"/>
    <col min="12802" max="12802" width="6.28515625" style="1" hidden="1" customWidth="1"/>
    <col min="12803" max="12803" width="37.140625" style="1" hidden="1" customWidth="1"/>
    <col min="12804" max="12804" width="8.140625" style="1" hidden="1" customWidth="1"/>
    <col min="12805" max="12805" width="11.42578125" style="1" hidden="1" customWidth="1"/>
    <col min="12806" max="12806" width="11.7109375" style="1" hidden="1" customWidth="1"/>
    <col min="12807" max="12807" width="14.85546875" style="1" hidden="1" customWidth="1"/>
    <col min="12808" max="12808" width="13.28515625" style="1" hidden="1" customWidth="1"/>
    <col min="12809" max="12809" width="5.85546875" style="1" hidden="1" customWidth="1"/>
    <col min="12810" max="12810" width="11.42578125" style="1" hidden="1" customWidth="1"/>
    <col min="12811" max="13057" width="0" style="1" hidden="1"/>
    <col min="13058" max="13058" width="6.28515625" style="1" hidden="1" customWidth="1"/>
    <col min="13059" max="13059" width="37.140625" style="1" hidden="1" customWidth="1"/>
    <col min="13060" max="13060" width="8.140625" style="1" hidden="1" customWidth="1"/>
    <col min="13061" max="13061" width="11.42578125" style="1" hidden="1" customWidth="1"/>
    <col min="13062" max="13062" width="11.7109375" style="1" hidden="1" customWidth="1"/>
    <col min="13063" max="13063" width="14.85546875" style="1" hidden="1" customWidth="1"/>
    <col min="13064" max="13064" width="13.28515625" style="1" hidden="1" customWidth="1"/>
    <col min="13065" max="13065" width="5.85546875" style="1" hidden="1" customWidth="1"/>
    <col min="13066" max="13066" width="11.42578125" style="1" hidden="1" customWidth="1"/>
    <col min="13067" max="13313" width="0" style="1" hidden="1"/>
    <col min="13314" max="13314" width="6.28515625" style="1" hidden="1" customWidth="1"/>
    <col min="13315" max="13315" width="37.140625" style="1" hidden="1" customWidth="1"/>
    <col min="13316" max="13316" width="8.140625" style="1" hidden="1" customWidth="1"/>
    <col min="13317" max="13317" width="11.42578125" style="1" hidden="1" customWidth="1"/>
    <col min="13318" max="13318" width="11.7109375" style="1" hidden="1" customWidth="1"/>
    <col min="13319" max="13319" width="14.85546875" style="1" hidden="1" customWidth="1"/>
    <col min="13320" max="13320" width="13.28515625" style="1" hidden="1" customWidth="1"/>
    <col min="13321" max="13321" width="5.85546875" style="1" hidden="1" customWidth="1"/>
    <col min="13322" max="13322" width="11.42578125" style="1" hidden="1" customWidth="1"/>
    <col min="13323" max="13569" width="0" style="1" hidden="1"/>
    <col min="13570" max="13570" width="6.28515625" style="1" hidden="1" customWidth="1"/>
    <col min="13571" max="13571" width="37.140625" style="1" hidden="1" customWidth="1"/>
    <col min="13572" max="13572" width="8.140625" style="1" hidden="1" customWidth="1"/>
    <col min="13573" max="13573" width="11.42578125" style="1" hidden="1" customWidth="1"/>
    <col min="13574" max="13574" width="11.7109375" style="1" hidden="1" customWidth="1"/>
    <col min="13575" max="13575" width="14.85546875" style="1" hidden="1" customWidth="1"/>
    <col min="13576" max="13576" width="13.28515625" style="1" hidden="1" customWidth="1"/>
    <col min="13577" max="13577" width="5.85546875" style="1" hidden="1" customWidth="1"/>
    <col min="13578" max="13578" width="11.42578125" style="1" hidden="1" customWidth="1"/>
    <col min="13579" max="13825" width="0" style="1" hidden="1"/>
    <col min="13826" max="13826" width="6.28515625" style="1" hidden="1" customWidth="1"/>
    <col min="13827" max="13827" width="37.140625" style="1" hidden="1" customWidth="1"/>
    <col min="13828" max="13828" width="8.140625" style="1" hidden="1" customWidth="1"/>
    <col min="13829" max="13829" width="11.42578125" style="1" hidden="1" customWidth="1"/>
    <col min="13830" max="13830" width="11.7109375" style="1" hidden="1" customWidth="1"/>
    <col min="13831" max="13831" width="14.85546875" style="1" hidden="1" customWidth="1"/>
    <col min="13832" max="13832" width="13.28515625" style="1" hidden="1" customWidth="1"/>
    <col min="13833" max="13833" width="5.85546875" style="1" hidden="1" customWidth="1"/>
    <col min="13834" max="13834" width="11.42578125" style="1" hidden="1" customWidth="1"/>
    <col min="13835" max="14081" width="0" style="1" hidden="1"/>
    <col min="14082" max="14082" width="6.28515625" style="1" hidden="1" customWidth="1"/>
    <col min="14083" max="14083" width="37.140625" style="1" hidden="1" customWidth="1"/>
    <col min="14084" max="14084" width="8.140625" style="1" hidden="1" customWidth="1"/>
    <col min="14085" max="14085" width="11.42578125" style="1" hidden="1" customWidth="1"/>
    <col min="14086" max="14086" width="11.7109375" style="1" hidden="1" customWidth="1"/>
    <col min="14087" max="14087" width="14.85546875" style="1" hidden="1" customWidth="1"/>
    <col min="14088" max="14088" width="13.28515625" style="1" hidden="1" customWidth="1"/>
    <col min="14089" max="14089" width="5.85546875" style="1" hidden="1" customWidth="1"/>
    <col min="14090" max="14090" width="11.42578125" style="1" hidden="1" customWidth="1"/>
    <col min="14091" max="14337" width="0" style="1" hidden="1"/>
    <col min="14338" max="14338" width="6.28515625" style="1" hidden="1" customWidth="1"/>
    <col min="14339" max="14339" width="37.140625" style="1" hidden="1" customWidth="1"/>
    <col min="14340" max="14340" width="8.140625" style="1" hidden="1" customWidth="1"/>
    <col min="14341" max="14341" width="11.42578125" style="1" hidden="1" customWidth="1"/>
    <col min="14342" max="14342" width="11.7109375" style="1" hidden="1" customWidth="1"/>
    <col min="14343" max="14343" width="14.85546875" style="1" hidden="1" customWidth="1"/>
    <col min="14344" max="14344" width="13.28515625" style="1" hidden="1" customWidth="1"/>
    <col min="14345" max="14345" width="5.85546875" style="1" hidden="1" customWidth="1"/>
    <col min="14346" max="14346" width="11.42578125" style="1" hidden="1" customWidth="1"/>
    <col min="14347" max="14593" width="0" style="1" hidden="1"/>
    <col min="14594" max="14594" width="6.28515625" style="1" hidden="1" customWidth="1"/>
    <col min="14595" max="14595" width="37.140625" style="1" hidden="1" customWidth="1"/>
    <col min="14596" max="14596" width="8.140625" style="1" hidden="1" customWidth="1"/>
    <col min="14597" max="14597" width="11.42578125" style="1" hidden="1" customWidth="1"/>
    <col min="14598" max="14598" width="11.7109375" style="1" hidden="1" customWidth="1"/>
    <col min="14599" max="14599" width="14.85546875" style="1" hidden="1" customWidth="1"/>
    <col min="14600" max="14600" width="13.28515625" style="1" hidden="1" customWidth="1"/>
    <col min="14601" max="14601" width="5.85546875" style="1" hidden="1" customWidth="1"/>
    <col min="14602" max="14602" width="11.42578125" style="1" hidden="1" customWidth="1"/>
    <col min="14603" max="14849" width="0" style="1" hidden="1"/>
    <col min="14850" max="14850" width="6.28515625" style="1" hidden="1" customWidth="1"/>
    <col min="14851" max="14851" width="37.140625" style="1" hidden="1" customWidth="1"/>
    <col min="14852" max="14852" width="8.140625" style="1" hidden="1" customWidth="1"/>
    <col min="14853" max="14853" width="11.42578125" style="1" hidden="1" customWidth="1"/>
    <col min="14854" max="14854" width="11.7109375" style="1" hidden="1" customWidth="1"/>
    <col min="14855" max="14855" width="14.85546875" style="1" hidden="1" customWidth="1"/>
    <col min="14856" max="14856" width="13.28515625" style="1" hidden="1" customWidth="1"/>
    <col min="14857" max="14857" width="5.85546875" style="1" hidden="1" customWidth="1"/>
    <col min="14858" max="14858" width="11.42578125" style="1" hidden="1" customWidth="1"/>
    <col min="14859" max="15105" width="0" style="1" hidden="1"/>
    <col min="15106" max="15106" width="6.28515625" style="1" hidden="1" customWidth="1"/>
    <col min="15107" max="15107" width="37.140625" style="1" hidden="1" customWidth="1"/>
    <col min="15108" max="15108" width="8.140625" style="1" hidden="1" customWidth="1"/>
    <col min="15109" max="15109" width="11.42578125" style="1" hidden="1" customWidth="1"/>
    <col min="15110" max="15110" width="11.7109375" style="1" hidden="1" customWidth="1"/>
    <col min="15111" max="15111" width="14.85546875" style="1" hidden="1" customWidth="1"/>
    <col min="15112" max="15112" width="13.28515625" style="1" hidden="1" customWidth="1"/>
    <col min="15113" max="15113" width="5.85546875" style="1" hidden="1" customWidth="1"/>
    <col min="15114" max="15114" width="11.42578125" style="1" hidden="1" customWidth="1"/>
    <col min="15115" max="15361" width="0" style="1" hidden="1"/>
    <col min="15362" max="15362" width="6.28515625" style="1" hidden="1" customWidth="1"/>
    <col min="15363" max="15363" width="37.140625" style="1" hidden="1" customWidth="1"/>
    <col min="15364" max="15364" width="8.140625" style="1" hidden="1" customWidth="1"/>
    <col min="15365" max="15365" width="11.42578125" style="1" hidden="1" customWidth="1"/>
    <col min="15366" max="15366" width="11.7109375" style="1" hidden="1" customWidth="1"/>
    <col min="15367" max="15367" width="14.85546875" style="1" hidden="1" customWidth="1"/>
    <col min="15368" max="15368" width="13.28515625" style="1" hidden="1" customWidth="1"/>
    <col min="15369" max="15369" width="5.85546875" style="1" hidden="1" customWidth="1"/>
    <col min="15370" max="15370" width="11.42578125" style="1" hidden="1" customWidth="1"/>
    <col min="15371" max="15617" width="0" style="1" hidden="1"/>
    <col min="15618" max="15618" width="6.28515625" style="1" hidden="1" customWidth="1"/>
    <col min="15619" max="15619" width="37.140625" style="1" hidden="1" customWidth="1"/>
    <col min="15620" max="15620" width="8.140625" style="1" hidden="1" customWidth="1"/>
    <col min="15621" max="15621" width="11.42578125" style="1" hidden="1" customWidth="1"/>
    <col min="15622" max="15622" width="11.7109375" style="1" hidden="1" customWidth="1"/>
    <col min="15623" max="15623" width="14.85546875" style="1" hidden="1" customWidth="1"/>
    <col min="15624" max="15624" width="13.28515625" style="1" hidden="1" customWidth="1"/>
    <col min="15625" max="15625" width="5.85546875" style="1" hidden="1" customWidth="1"/>
    <col min="15626" max="15626" width="11.42578125" style="1" hidden="1" customWidth="1"/>
    <col min="15627" max="15873" width="0" style="1" hidden="1"/>
    <col min="15874" max="15874" width="6.28515625" style="1" hidden="1" customWidth="1"/>
    <col min="15875" max="15875" width="37.140625" style="1" hidden="1" customWidth="1"/>
    <col min="15876" max="15876" width="8.140625" style="1" hidden="1" customWidth="1"/>
    <col min="15877" max="15877" width="11.42578125" style="1" hidden="1" customWidth="1"/>
    <col min="15878" max="15878" width="11.7109375" style="1" hidden="1" customWidth="1"/>
    <col min="15879" max="15879" width="14.85546875" style="1" hidden="1" customWidth="1"/>
    <col min="15880" max="15880" width="13.28515625" style="1" hidden="1" customWidth="1"/>
    <col min="15881" max="15881" width="5.85546875" style="1" hidden="1" customWidth="1"/>
    <col min="15882" max="15882" width="11.42578125" style="1" hidden="1" customWidth="1"/>
    <col min="15883" max="16384" width="0" style="1" hidden="1"/>
  </cols>
  <sheetData>
    <row r="1" spans="2:20" ht="15.75" x14ac:dyDescent="0.25">
      <c r="B1" s="151"/>
      <c r="C1" s="3"/>
      <c r="D1" s="3"/>
    </row>
    <row r="2" spans="2:20" ht="24.95" customHeight="1" x14ac:dyDescent="0.2">
      <c r="B2" s="180" t="s">
        <v>0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</row>
    <row r="3" spans="2:20" ht="24.95" customHeight="1" x14ac:dyDescent="0.2">
      <c r="B3" s="181" t="s">
        <v>253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</row>
    <row r="4" spans="2:20" ht="31.5" customHeight="1" x14ac:dyDescent="0.2">
      <c r="B4" s="182" t="s">
        <v>258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</row>
    <row r="5" spans="2:20" ht="3" customHeight="1" x14ac:dyDescent="0.25"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</row>
    <row r="6" spans="2:20" ht="22.5" customHeight="1" x14ac:dyDescent="0.2">
      <c r="B6" s="184" t="s">
        <v>254</v>
      </c>
      <c r="C6" s="184" t="s">
        <v>2</v>
      </c>
      <c r="D6" s="184"/>
      <c r="E6" s="184" t="s">
        <v>3</v>
      </c>
      <c r="F6" s="184" t="s">
        <v>4</v>
      </c>
      <c r="G6" s="184" t="s">
        <v>5</v>
      </c>
      <c r="H6" s="184" t="s">
        <v>6</v>
      </c>
      <c r="I6" s="184" t="s">
        <v>7</v>
      </c>
      <c r="J6" s="184" t="s">
        <v>71</v>
      </c>
      <c r="K6" s="184" t="s">
        <v>72</v>
      </c>
      <c r="L6" s="184" t="s">
        <v>73</v>
      </c>
      <c r="M6" s="184" t="s">
        <v>259</v>
      </c>
      <c r="N6" s="184" t="s">
        <v>260</v>
      </c>
      <c r="O6" s="184" t="s">
        <v>244</v>
      </c>
      <c r="P6" s="184" t="s">
        <v>245</v>
      </c>
      <c r="Q6" s="185" t="s">
        <v>70</v>
      </c>
    </row>
    <row r="7" spans="2:20" ht="15" customHeight="1" x14ac:dyDescent="0.2">
      <c r="B7" s="184"/>
      <c r="C7" s="184"/>
      <c r="D7" s="184"/>
      <c r="E7" s="184" t="s">
        <v>10</v>
      </c>
      <c r="F7" s="184" t="s">
        <v>10</v>
      </c>
      <c r="G7" s="184"/>
      <c r="H7" s="184" t="s">
        <v>10</v>
      </c>
      <c r="I7" s="184" t="s">
        <v>10</v>
      </c>
      <c r="J7" s="184"/>
      <c r="K7" s="184"/>
      <c r="L7" s="184"/>
      <c r="M7" s="184"/>
      <c r="N7" s="184"/>
      <c r="O7" s="184"/>
      <c r="P7" s="184"/>
      <c r="Q7" s="185"/>
    </row>
    <row r="8" spans="2:20" ht="24.75" customHeight="1" x14ac:dyDescent="0.2">
      <c r="B8" s="184"/>
      <c r="C8" s="184"/>
      <c r="D8" s="184"/>
      <c r="E8" s="184" t="s">
        <v>11</v>
      </c>
      <c r="F8" s="184" t="s">
        <v>11</v>
      </c>
      <c r="G8" s="184"/>
      <c r="H8" s="184" t="s">
        <v>11</v>
      </c>
      <c r="I8" s="184" t="s">
        <v>11</v>
      </c>
      <c r="J8" s="184"/>
      <c r="K8" s="184"/>
      <c r="L8" s="184"/>
      <c r="M8" s="184"/>
      <c r="N8" s="184"/>
      <c r="O8" s="184"/>
      <c r="P8" s="184"/>
      <c r="Q8" s="185"/>
    </row>
    <row r="9" spans="2:20" ht="3" customHeight="1" x14ac:dyDescent="0.2">
      <c r="B9" s="187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9"/>
    </row>
    <row r="10" spans="2:20" ht="24.95" customHeight="1" x14ac:dyDescent="0.2">
      <c r="B10" s="146" t="s">
        <v>12</v>
      </c>
      <c r="C10" s="149"/>
      <c r="D10" s="149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8"/>
    </row>
    <row r="11" spans="2:20" s="11" customFormat="1" ht="20.100000000000001" customHeight="1" x14ac:dyDescent="0.25">
      <c r="B11" s="150" t="s">
        <v>13</v>
      </c>
      <c r="C11" s="186" t="s">
        <v>14</v>
      </c>
      <c r="D11" s="186"/>
      <c r="E11" s="143">
        <f>+_xlfn.XLOOKUP(C11,'2026'!$B$2:$B$18,'2026'!$C$2:$C$18)</f>
        <v>7977945</v>
      </c>
      <c r="F11" s="143">
        <v>0</v>
      </c>
      <c r="G11" s="143">
        <v>0</v>
      </c>
      <c r="H11" s="143">
        <f>+_xlfn.XLOOKUP(C11,'2026'!$B$2:$B$18,'2026'!$D$2:$D$18)</f>
        <v>14183014</v>
      </c>
      <c r="I11" s="143">
        <f>+_xlfn.XLOOKUP(C11,'2026'!$B$2:$B$18,'2026'!$F$2:$F$18)</f>
        <v>0</v>
      </c>
      <c r="J11" s="143">
        <f>+_xlfn.XLOOKUP(C11,'2026'!$B$2:$B$18,'2026'!$I$2:$I$18)</f>
        <v>41167101</v>
      </c>
      <c r="K11" s="143">
        <v>0</v>
      </c>
      <c r="L11" s="143">
        <f>+_xlfn.XLOOKUP(C11,'2026'!$B$2:$B$18,'2026'!$K$2:$K$18)</f>
        <v>0</v>
      </c>
      <c r="M11" s="143">
        <v>0</v>
      </c>
      <c r="N11" s="143">
        <v>0</v>
      </c>
      <c r="O11" s="143">
        <v>0</v>
      </c>
      <c r="P11" s="143">
        <v>0</v>
      </c>
      <c r="Q11" s="144">
        <f t="shared" ref="Q11:Q74" si="0">+SUM(E11:P11)</f>
        <v>63328060</v>
      </c>
      <c r="T11" s="140"/>
    </row>
    <row r="12" spans="2:20" s="11" customFormat="1" ht="20.100000000000001" customHeight="1" x14ac:dyDescent="0.25">
      <c r="B12" s="150" t="s">
        <v>15</v>
      </c>
      <c r="C12" s="186" t="s">
        <v>16</v>
      </c>
      <c r="D12" s="186"/>
      <c r="E12" s="143">
        <f>+_xlfn.XLOOKUP(C12,'2026'!$B$2:$B$18,'2026'!$C$2:$C$18)</f>
        <v>7977945</v>
      </c>
      <c r="F12" s="143">
        <v>0</v>
      </c>
      <c r="G12" s="143">
        <v>0</v>
      </c>
      <c r="H12" s="143">
        <f>+_xlfn.XLOOKUP(C12,'2026'!$B$2:$B$18,'2026'!$D$2:$D$18)</f>
        <v>14183014</v>
      </c>
      <c r="I12" s="143">
        <f>+_xlfn.XLOOKUP(C12,'2026'!$B$2:$B$18,'2026'!$F$2:$F$18)</f>
        <v>0</v>
      </c>
      <c r="J12" s="143">
        <f>+_xlfn.XLOOKUP(C12,'2026'!$B$2:$B$18,'2026'!$I$2:$I$18)</f>
        <v>41167101</v>
      </c>
      <c r="K12" s="143">
        <v>0</v>
      </c>
      <c r="L12" s="143">
        <f>+_xlfn.XLOOKUP(C12,'2026'!$B$2:$B$18,'2026'!$K$2:$K$18)</f>
        <v>0</v>
      </c>
      <c r="M12" s="143">
        <v>0</v>
      </c>
      <c r="N12" s="143">
        <v>0</v>
      </c>
      <c r="O12" s="143">
        <v>0</v>
      </c>
      <c r="P12" s="143">
        <v>0</v>
      </c>
      <c r="Q12" s="144">
        <f t="shared" si="0"/>
        <v>63328060</v>
      </c>
      <c r="T12" s="140"/>
    </row>
    <row r="13" spans="2:20" s="11" customFormat="1" ht="20.100000000000001" customHeight="1" x14ac:dyDescent="0.25">
      <c r="B13" s="150" t="s">
        <v>17</v>
      </c>
      <c r="C13" s="186" t="s">
        <v>18</v>
      </c>
      <c r="D13" s="186"/>
      <c r="E13" s="143">
        <f>+_xlfn.XLOOKUP(C13,'2026'!$B$2:$B$18,'2026'!$C$2:$C$18)</f>
        <v>7977945</v>
      </c>
      <c r="F13" s="143">
        <v>0</v>
      </c>
      <c r="G13" s="143">
        <v>0</v>
      </c>
      <c r="H13" s="143">
        <f>+_xlfn.XLOOKUP(C13,'2026'!$B$2:$B$18,'2026'!$D$2:$D$18)</f>
        <v>14183014</v>
      </c>
      <c r="I13" s="143">
        <f>+_xlfn.XLOOKUP(C13,'2026'!$B$2:$B$18,'2026'!$F$2:$F$18)</f>
        <v>0</v>
      </c>
      <c r="J13" s="143">
        <f>+_xlfn.XLOOKUP(C13,'2026'!$B$2:$B$18,'2026'!$I$2:$I$18)</f>
        <v>41167101</v>
      </c>
      <c r="K13" s="143">
        <v>0</v>
      </c>
      <c r="L13" s="143">
        <f>+_xlfn.XLOOKUP(C13,'2026'!$B$2:$B$18,'2026'!$K$2:$K$18)</f>
        <v>0</v>
      </c>
      <c r="M13" s="143">
        <v>0</v>
      </c>
      <c r="N13" s="143">
        <v>0</v>
      </c>
      <c r="O13" s="143">
        <v>0</v>
      </c>
      <c r="P13" s="143">
        <v>0</v>
      </c>
      <c r="Q13" s="144">
        <f t="shared" si="0"/>
        <v>63328060</v>
      </c>
      <c r="T13" s="140"/>
    </row>
    <row r="14" spans="2:20" s="11" customFormat="1" ht="20.100000000000001" customHeight="1" x14ac:dyDescent="0.25">
      <c r="B14" s="150" t="s">
        <v>19</v>
      </c>
      <c r="C14" s="186" t="s">
        <v>20</v>
      </c>
      <c r="D14" s="186"/>
      <c r="E14" s="143">
        <f>+_xlfn.XLOOKUP(C14,'2026'!$B$2:$B$18,'2026'!$C$2:$C$18)</f>
        <v>11126532</v>
      </c>
      <c r="F14" s="143">
        <v>0</v>
      </c>
      <c r="G14" s="143">
        <v>0</v>
      </c>
      <c r="H14" s="143">
        <f>+_xlfn.XLOOKUP(C14,'2026'!$B$2:$B$18,'2026'!$D$2:$D$18)</f>
        <v>11126520</v>
      </c>
      <c r="I14" s="143">
        <f>+_xlfn.XLOOKUP(C14,'2026'!$B$2:$B$18,'2026'!$F$2:$F$18)</f>
        <v>9769095</v>
      </c>
      <c r="J14" s="143">
        <f>+_xlfn.XLOOKUP(C14,'2026'!$B$2:$B$18,'2026'!$I$2:$I$18)</f>
        <v>0</v>
      </c>
      <c r="K14" s="143">
        <v>0</v>
      </c>
      <c r="L14" s="143">
        <f>+_xlfn.XLOOKUP(C14,'2026'!$B$2:$B$18,'2026'!$K$2:$K$18)</f>
        <v>5963821</v>
      </c>
      <c r="M14" s="143">
        <v>0</v>
      </c>
      <c r="N14" s="143">
        <v>0</v>
      </c>
      <c r="O14" s="143">
        <v>0</v>
      </c>
      <c r="P14" s="143">
        <v>0</v>
      </c>
      <c r="Q14" s="144">
        <f>+SUM(E14:P14)</f>
        <v>37985968</v>
      </c>
      <c r="T14" s="140"/>
    </row>
    <row r="15" spans="2:20" s="11" customFormat="1" ht="20.100000000000001" customHeight="1" x14ac:dyDescent="0.25">
      <c r="B15" s="150" t="s">
        <v>21</v>
      </c>
      <c r="C15" s="186" t="s">
        <v>22</v>
      </c>
      <c r="D15" s="186"/>
      <c r="E15" s="143">
        <f>+_xlfn.XLOOKUP(C15,'2026'!$B$2:$B$18,'2026'!$C$2:$C$18)</f>
        <v>11126532</v>
      </c>
      <c r="F15" s="143">
        <v>0</v>
      </c>
      <c r="G15" s="143">
        <v>0</v>
      </c>
      <c r="H15" s="143">
        <f>+_xlfn.XLOOKUP(C15,'2026'!$B$2:$B$18,'2026'!$D$2:$D$18)</f>
        <v>11126520</v>
      </c>
      <c r="I15" s="143">
        <f>+_xlfn.XLOOKUP(C15,'2026'!$B$2:$B$18,'2026'!$F$2:$F$18)</f>
        <v>9769095</v>
      </c>
      <c r="J15" s="143">
        <f>+_xlfn.XLOOKUP(C15,'2026'!$B$2:$B$18,'2026'!$I$2:$I$18)</f>
        <v>0</v>
      </c>
      <c r="K15" s="143">
        <v>0</v>
      </c>
      <c r="L15" s="143">
        <f>+_xlfn.XLOOKUP(C15,'2026'!$B$2:$B$18,'2026'!$K$2:$K$18)</f>
        <v>5963821</v>
      </c>
      <c r="M15" s="143">
        <v>0</v>
      </c>
      <c r="N15" s="143">
        <v>0</v>
      </c>
      <c r="O15" s="143">
        <v>0</v>
      </c>
      <c r="P15" s="143">
        <v>0</v>
      </c>
      <c r="Q15" s="144">
        <f>+SUM(E15:P15)</f>
        <v>37985968</v>
      </c>
      <c r="T15" s="140"/>
    </row>
    <row r="16" spans="2:20" s="11" customFormat="1" ht="20.100000000000001" customHeight="1" x14ac:dyDescent="0.25">
      <c r="B16" s="150" t="s">
        <v>23</v>
      </c>
      <c r="C16" s="186" t="s">
        <v>24</v>
      </c>
      <c r="D16" s="186"/>
      <c r="E16" s="143">
        <f>+_xlfn.XLOOKUP(C16,'2026'!$B$2:$B$18,'2026'!$C$2:$C$18)</f>
        <v>11126532</v>
      </c>
      <c r="F16" s="143">
        <v>0</v>
      </c>
      <c r="G16" s="143">
        <v>0</v>
      </c>
      <c r="H16" s="143">
        <f>+_xlfn.XLOOKUP(C16,'2026'!$B$2:$B$18,'2026'!$D$2:$D$18)</f>
        <v>11126520</v>
      </c>
      <c r="I16" s="143">
        <f>+_xlfn.XLOOKUP(C16,'2026'!$B$2:$B$18,'2026'!$F$2:$F$18)</f>
        <v>9769095</v>
      </c>
      <c r="J16" s="143">
        <f>+_xlfn.XLOOKUP(C16,'2026'!$B$2:$B$18,'2026'!$I$2:$I$18)</f>
        <v>0</v>
      </c>
      <c r="K16" s="143">
        <v>0</v>
      </c>
      <c r="L16" s="143">
        <f>+_xlfn.XLOOKUP(C16,'2026'!$B$2:$B$18,'2026'!$K$2:$K$18)</f>
        <v>5963821</v>
      </c>
      <c r="M16" s="143">
        <v>0</v>
      </c>
      <c r="N16" s="143">
        <v>0</v>
      </c>
      <c r="O16" s="143">
        <v>0</v>
      </c>
      <c r="P16" s="143">
        <v>0</v>
      </c>
      <c r="Q16" s="144">
        <f>+SUM(E16:P16)</f>
        <v>37985968</v>
      </c>
      <c r="T16" s="140"/>
    </row>
    <row r="17" spans="2:20" s="11" customFormat="1" ht="20.100000000000001" customHeight="1" x14ac:dyDescent="0.25">
      <c r="B17" s="150" t="s">
        <v>25</v>
      </c>
      <c r="C17" s="186" t="s">
        <v>26</v>
      </c>
      <c r="D17" s="186"/>
      <c r="E17" s="143">
        <f>+_xlfn.XLOOKUP(C17,'2026'!$B$2:$B$18,'2026'!$C$2:$C$18)</f>
        <v>11126532</v>
      </c>
      <c r="F17" s="143">
        <v>0</v>
      </c>
      <c r="G17" s="143">
        <v>0</v>
      </c>
      <c r="H17" s="143">
        <f>+_xlfn.XLOOKUP(C17,'2026'!$B$2:$B$18,'2026'!$D$2:$D$18)</f>
        <v>11126520</v>
      </c>
      <c r="I17" s="143">
        <f>+_xlfn.XLOOKUP(C17,'2026'!$B$2:$B$18,'2026'!$F$2:$F$18)</f>
        <v>9769095</v>
      </c>
      <c r="J17" s="143">
        <f>+_xlfn.XLOOKUP(C17,'2026'!$B$2:$B$18,'2026'!$I$2:$I$18)</f>
        <v>0</v>
      </c>
      <c r="K17" s="143">
        <v>0</v>
      </c>
      <c r="L17" s="143">
        <f>+_xlfn.XLOOKUP(C17,'2026'!$B$2:$B$18,'2026'!$K$2:$K$18)</f>
        <v>5963821</v>
      </c>
      <c r="M17" s="143">
        <v>0</v>
      </c>
      <c r="N17" s="143">
        <v>0</v>
      </c>
      <c r="O17" s="143">
        <v>0</v>
      </c>
      <c r="P17" s="143">
        <v>0</v>
      </c>
      <c r="Q17" s="144">
        <f t="shared" si="0"/>
        <v>37985968</v>
      </c>
      <c r="T17" s="140"/>
    </row>
    <row r="18" spans="2:20" s="11" customFormat="1" ht="20.100000000000001" customHeight="1" x14ac:dyDescent="0.25">
      <c r="B18" s="150" t="s">
        <v>27</v>
      </c>
      <c r="C18" s="186" t="s">
        <v>28</v>
      </c>
      <c r="D18" s="186"/>
      <c r="E18" s="143">
        <f>+_xlfn.XLOOKUP(C18,'2026'!$B$2:$B$18,'2026'!$C$2:$C$18)</f>
        <v>10865953</v>
      </c>
      <c r="F18" s="143">
        <v>0</v>
      </c>
      <c r="G18" s="143">
        <v>0</v>
      </c>
      <c r="H18" s="143">
        <f>+_xlfn.XLOOKUP(C18,'2026'!$B$2:$B$18,'2026'!$D$2:$D$18)</f>
        <v>8482259</v>
      </c>
      <c r="I18" s="143">
        <f>+_xlfn.XLOOKUP(C18,'2026'!$B$2:$B$18,'2026'!$F$2:$F$18)</f>
        <v>0</v>
      </c>
      <c r="J18" s="143">
        <f>+_xlfn.XLOOKUP(C18,'2026'!$B$2:$B$18,'2026'!$I$2:$I$18)</f>
        <v>0</v>
      </c>
      <c r="K18" s="143">
        <v>0</v>
      </c>
      <c r="L18" s="143">
        <f>+_xlfn.XLOOKUP(C18,'2026'!$B$2:$B$18,'2026'!$K$2:$K$18)</f>
        <v>2652328</v>
      </c>
      <c r="M18" s="143">
        <v>0</v>
      </c>
      <c r="N18" s="143">
        <v>0</v>
      </c>
      <c r="O18" s="143">
        <v>0</v>
      </c>
      <c r="P18" s="143">
        <v>0</v>
      </c>
      <c r="Q18" s="144">
        <f t="shared" si="0"/>
        <v>22000540</v>
      </c>
      <c r="T18" s="140"/>
    </row>
    <row r="19" spans="2:20" s="11" customFormat="1" ht="20.100000000000001" customHeight="1" x14ac:dyDescent="0.25">
      <c r="B19" s="150" t="s">
        <v>29</v>
      </c>
      <c r="C19" s="186" t="s">
        <v>30</v>
      </c>
      <c r="D19" s="186"/>
      <c r="E19" s="143">
        <f>+_xlfn.XLOOKUP(C19,'2026'!$B$2:$B$18,'2026'!$C$2:$C$18)</f>
        <v>8483475</v>
      </c>
      <c r="F19" s="143">
        <v>0</v>
      </c>
      <c r="G19" s="143">
        <v>0</v>
      </c>
      <c r="H19" s="143">
        <f>+_xlfn.XLOOKUP(C19,'2026'!$B$2:$B$18,'2026'!$D$2:$D$18)</f>
        <v>8483470</v>
      </c>
      <c r="I19" s="143">
        <f>+_xlfn.XLOOKUP(C19,'2026'!$B$2:$B$18,'2026'!$F$2:$F$18)</f>
        <v>0</v>
      </c>
      <c r="J19" s="143">
        <f>+_xlfn.XLOOKUP(C19,'2026'!$B$2:$B$18,'2026'!$I$2:$I$18)</f>
        <v>0</v>
      </c>
      <c r="K19" s="143">
        <v>0</v>
      </c>
      <c r="L19" s="158">
        <f>+SUM(L2:L18)</f>
        <v>26507612</v>
      </c>
      <c r="M19" s="143">
        <v>0</v>
      </c>
      <c r="N19" s="143">
        <v>0</v>
      </c>
      <c r="O19" s="143">
        <v>0</v>
      </c>
      <c r="P19" s="143">
        <v>0</v>
      </c>
      <c r="Q19" s="144">
        <f t="shared" si="0"/>
        <v>43474557</v>
      </c>
      <c r="T19" s="140"/>
    </row>
    <row r="20" spans="2:20" s="11" customFormat="1" ht="20.100000000000001" customHeight="1" x14ac:dyDescent="0.25">
      <c r="B20" s="150" t="s">
        <v>31</v>
      </c>
      <c r="C20" s="186" t="s">
        <v>32</v>
      </c>
      <c r="D20" s="186"/>
      <c r="E20" s="143">
        <f>+_xlfn.XLOOKUP(C20,'2026'!$B$2:$B$18,'2026'!$C$2:$C$18)</f>
        <v>7368379</v>
      </c>
      <c r="F20" s="143">
        <v>0</v>
      </c>
      <c r="G20" s="143">
        <v>0</v>
      </c>
      <c r="H20" s="143">
        <f>+_xlfn.XLOOKUP(C20,'2026'!$B$2:$B$18,'2026'!$D$2:$D$18)</f>
        <v>7368374</v>
      </c>
      <c r="I20" s="143">
        <f>+_xlfn.XLOOKUP(C20,'2026'!$B$2:$B$18,'2026'!$F$2:$F$18)</f>
        <v>0</v>
      </c>
      <c r="J20" s="143">
        <f>+_xlfn.XLOOKUP(C20,'2026'!$B$2:$B$18,'2026'!$I$2:$I$18)</f>
        <v>0</v>
      </c>
      <c r="K20" s="143">
        <v>0</v>
      </c>
      <c r="L20" s="160"/>
      <c r="M20" s="143">
        <v>0</v>
      </c>
      <c r="N20" s="143">
        <v>0</v>
      </c>
      <c r="O20" s="143">
        <v>0</v>
      </c>
      <c r="P20" s="143">
        <v>0</v>
      </c>
      <c r="Q20" s="144">
        <f t="shared" si="0"/>
        <v>14736753</v>
      </c>
      <c r="T20" s="140"/>
    </row>
    <row r="21" spans="2:20" s="11" customFormat="1" ht="24.95" customHeight="1" x14ac:dyDescent="0.25">
      <c r="B21" s="146" t="s">
        <v>33</v>
      </c>
      <c r="C21" s="149"/>
      <c r="D21" s="149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8"/>
      <c r="T21" s="140"/>
    </row>
    <row r="22" spans="2:20" s="11" customFormat="1" ht="20.100000000000001" customHeight="1" x14ac:dyDescent="0.25">
      <c r="B22" s="150" t="s">
        <v>34</v>
      </c>
      <c r="C22" s="186" t="s">
        <v>35</v>
      </c>
      <c r="D22" s="186"/>
      <c r="E22" s="143">
        <f>+_xlfn.XLOOKUP(C22,'2026'!$B$2:$B$18,'2026'!$C$2:$C$18)</f>
        <v>21629269</v>
      </c>
      <c r="F22" s="143">
        <v>0</v>
      </c>
      <c r="G22" s="143">
        <v>0</v>
      </c>
      <c r="H22" s="143">
        <v>0</v>
      </c>
      <c r="I22" s="143">
        <f>+_xlfn.XLOOKUP(C22,'2026'!$B$2:$B$18,'2026'!$F$2:$F$18)</f>
        <v>6488780</v>
      </c>
      <c r="J22" s="143">
        <v>0</v>
      </c>
      <c r="K22" s="143">
        <v>0</v>
      </c>
      <c r="L22" s="143">
        <v>0</v>
      </c>
      <c r="M22" s="143">
        <v>0</v>
      </c>
      <c r="N22" s="143">
        <v>0</v>
      </c>
      <c r="O22" s="143">
        <v>0</v>
      </c>
      <c r="P22" s="143">
        <v>0</v>
      </c>
      <c r="Q22" s="144">
        <f t="shared" si="0"/>
        <v>28118049</v>
      </c>
      <c r="T22" s="140"/>
    </row>
    <row r="23" spans="2:20" s="11" customFormat="1" ht="20.100000000000001" customHeight="1" x14ac:dyDescent="0.25">
      <c r="B23" s="150" t="s">
        <v>36</v>
      </c>
      <c r="C23" s="186" t="s">
        <v>37</v>
      </c>
      <c r="D23" s="186"/>
      <c r="E23" s="143">
        <f>+_xlfn.XLOOKUP(C23,'2026'!$B$2:$B$18,'2026'!$C$2:$C$18)</f>
        <v>21629269</v>
      </c>
      <c r="F23" s="143">
        <v>0</v>
      </c>
      <c r="G23" s="143">
        <v>0</v>
      </c>
      <c r="H23" s="143">
        <v>0</v>
      </c>
      <c r="I23" s="143">
        <f>+_xlfn.XLOOKUP(C23,'2026'!$B$2:$B$18,'2026'!$F$2:$F$18)</f>
        <v>6488780</v>
      </c>
      <c r="J23" s="143">
        <v>0</v>
      </c>
      <c r="K23" s="143">
        <v>0</v>
      </c>
      <c r="L23" s="143">
        <v>0</v>
      </c>
      <c r="M23" s="143">
        <v>0</v>
      </c>
      <c r="N23" s="143">
        <v>0</v>
      </c>
      <c r="O23" s="143">
        <v>0</v>
      </c>
      <c r="P23" s="143">
        <v>0</v>
      </c>
      <c r="Q23" s="144">
        <f t="shared" si="0"/>
        <v>28118049</v>
      </c>
      <c r="T23" s="140"/>
    </row>
    <row r="24" spans="2:20" s="11" customFormat="1" ht="20.100000000000001" customHeight="1" x14ac:dyDescent="0.25">
      <c r="B24" s="150" t="s">
        <v>38</v>
      </c>
      <c r="C24" s="142" t="s">
        <v>76</v>
      </c>
      <c r="D24" s="142">
        <v>25</v>
      </c>
      <c r="E24" s="143">
        <f>+_xlfn.XLOOKUP(D24,'2026'!$O$2:$O$40,'2026'!$P$2:$P$40,,0)</f>
        <v>19445910</v>
      </c>
      <c r="F24" s="143">
        <f>+_xlfn.XLOOKUP(D24,'2026'!$O$2:$O$40,'2026'!$R$2:$R$40,,0)</f>
        <v>0</v>
      </c>
      <c r="G24" s="143">
        <f>+_xlfn.XLOOKUP(D24,'2026'!$O$2:$O$40,'2026'!$Q$2:$Q$40,,0)</f>
        <v>0</v>
      </c>
      <c r="H24" s="143">
        <v>0</v>
      </c>
      <c r="I24" s="143">
        <v>0</v>
      </c>
      <c r="J24" s="143">
        <v>0</v>
      </c>
      <c r="K24" s="143">
        <v>0</v>
      </c>
      <c r="L24" s="143">
        <v>0</v>
      </c>
      <c r="M24" s="143">
        <v>0</v>
      </c>
      <c r="N24" s="143">
        <v>0</v>
      </c>
      <c r="O24" s="143">
        <v>0</v>
      </c>
      <c r="P24" s="143">
        <v>0</v>
      </c>
      <c r="Q24" s="144">
        <f t="shared" si="0"/>
        <v>19445910</v>
      </c>
      <c r="T24" s="140"/>
    </row>
    <row r="25" spans="2:20" s="11" customFormat="1" ht="20.100000000000001" customHeight="1" x14ac:dyDescent="0.25">
      <c r="B25" s="150" t="s">
        <v>38</v>
      </c>
      <c r="C25" s="142" t="s">
        <v>76</v>
      </c>
      <c r="D25" s="142">
        <v>24</v>
      </c>
      <c r="E25" s="143">
        <f>+_xlfn.XLOOKUP(D25,'2026'!$O$2:$O$40,'2026'!$P$2:$P$40,,0)</f>
        <v>16973993</v>
      </c>
      <c r="F25" s="143">
        <f>+_xlfn.XLOOKUP(D25,'2026'!$O$2:$O$40,'2026'!$R$2:$R$40,,0)</f>
        <v>0</v>
      </c>
      <c r="G25" s="143">
        <f>+_xlfn.XLOOKUP(D25,'2026'!$O$2:$O$40,'2026'!$Q$2:$Q$40,,0)</f>
        <v>0</v>
      </c>
      <c r="H25" s="143">
        <v>0</v>
      </c>
      <c r="I25" s="143">
        <v>0</v>
      </c>
      <c r="J25" s="143">
        <v>0</v>
      </c>
      <c r="K25" s="143">
        <v>0</v>
      </c>
      <c r="L25" s="143">
        <v>0</v>
      </c>
      <c r="M25" s="143">
        <v>0</v>
      </c>
      <c r="N25" s="143">
        <v>0</v>
      </c>
      <c r="O25" s="143">
        <v>0</v>
      </c>
      <c r="P25" s="143">
        <v>0</v>
      </c>
      <c r="Q25" s="144">
        <f t="shared" si="0"/>
        <v>16973993</v>
      </c>
      <c r="T25" s="140"/>
    </row>
    <row r="26" spans="2:20" s="11" customFormat="1" ht="20.100000000000001" customHeight="1" x14ac:dyDescent="0.25">
      <c r="B26" s="150" t="s">
        <v>38</v>
      </c>
      <c r="C26" s="142" t="s">
        <v>76</v>
      </c>
      <c r="D26" s="142">
        <v>22</v>
      </c>
      <c r="E26" s="143">
        <f>+_xlfn.XLOOKUP(D26,'2026'!$O$2:$O$40,'2026'!$P$2:$P$40,,0)</f>
        <v>13990143</v>
      </c>
      <c r="F26" s="143">
        <f>+_xlfn.XLOOKUP(D26,'2026'!$O$2:$O$40,'2026'!$R$2:$R$40,,0)</f>
        <v>0</v>
      </c>
      <c r="G26" s="143">
        <f>+_xlfn.XLOOKUP(D26,'2026'!$O$2:$O$40,'2026'!$Q$2:$Q$40,,0)</f>
        <v>0</v>
      </c>
      <c r="H26" s="143">
        <v>0</v>
      </c>
      <c r="I26" s="143">
        <v>0</v>
      </c>
      <c r="J26" s="143">
        <v>0</v>
      </c>
      <c r="K26" s="143">
        <v>0</v>
      </c>
      <c r="L26" s="143">
        <v>0</v>
      </c>
      <c r="M26" s="143">
        <v>0</v>
      </c>
      <c r="N26" s="143">
        <v>0</v>
      </c>
      <c r="O26" s="143">
        <v>0</v>
      </c>
      <c r="P26" s="143">
        <v>0</v>
      </c>
      <c r="Q26" s="144">
        <f t="shared" si="0"/>
        <v>13990143</v>
      </c>
      <c r="T26" s="140"/>
    </row>
    <row r="27" spans="2:20" s="11" customFormat="1" ht="20.100000000000001" customHeight="1" x14ac:dyDescent="0.25">
      <c r="B27" s="150" t="s">
        <v>38</v>
      </c>
      <c r="C27" s="142" t="s">
        <v>76</v>
      </c>
      <c r="D27" s="142" t="s">
        <v>111</v>
      </c>
      <c r="E27" s="143">
        <f>+_xlfn.XLOOKUP(D27,'2026'!$O$2:$O$40,'2026'!$P$2:$P$40,,0)</f>
        <v>7495936</v>
      </c>
      <c r="F27" s="143">
        <f>+_xlfn.XLOOKUP(D27,'2026'!$O$2:$O$40,'2026'!$R$2:$R$40,,0)</f>
        <v>11239571</v>
      </c>
      <c r="G27" s="143">
        <f>+_xlfn.XLOOKUP(D27,'2026'!$O$2:$O$40,'2026'!$Q$2:$Q$40,,0)</f>
        <v>0</v>
      </c>
      <c r="H27" s="143">
        <v>0</v>
      </c>
      <c r="I27" s="143">
        <v>0</v>
      </c>
      <c r="J27" s="143">
        <v>0</v>
      </c>
      <c r="K27" s="143">
        <v>0</v>
      </c>
      <c r="L27" s="143">
        <v>0</v>
      </c>
      <c r="M27" s="143">
        <v>0</v>
      </c>
      <c r="N27" s="143">
        <v>0</v>
      </c>
      <c r="O27" s="143">
        <v>0</v>
      </c>
      <c r="P27" s="143">
        <v>0</v>
      </c>
      <c r="Q27" s="144">
        <f t="shared" si="0"/>
        <v>18735507</v>
      </c>
      <c r="T27" s="140"/>
    </row>
    <row r="28" spans="2:20" s="11" customFormat="1" ht="20.100000000000001" customHeight="1" x14ac:dyDescent="0.25">
      <c r="B28" s="150" t="s">
        <v>38</v>
      </c>
      <c r="C28" s="142" t="s">
        <v>76</v>
      </c>
      <c r="D28" s="142">
        <v>21</v>
      </c>
      <c r="E28" s="143">
        <f>+_xlfn.XLOOKUP(D28,'2026'!$O$2:$O$40,'2026'!$P$2:$P$40,,0)</f>
        <v>13001103</v>
      </c>
      <c r="F28" s="143">
        <f>+_xlfn.XLOOKUP(D28,'2026'!$O$2:$O$40,'2026'!$R$2:$R$40,,0)</f>
        <v>0</v>
      </c>
      <c r="G28" s="143">
        <f>+_xlfn.XLOOKUP(D28,'2026'!$O$2:$O$40,'2026'!$Q$2:$Q$40,,0)</f>
        <v>0</v>
      </c>
      <c r="H28" s="143">
        <v>0</v>
      </c>
      <c r="I28" s="143">
        <v>0</v>
      </c>
      <c r="J28" s="143">
        <v>0</v>
      </c>
      <c r="K28" s="143">
        <v>0</v>
      </c>
      <c r="L28" s="143">
        <v>0</v>
      </c>
      <c r="M28" s="143">
        <v>0</v>
      </c>
      <c r="N28" s="143">
        <v>0</v>
      </c>
      <c r="O28" s="143">
        <v>0</v>
      </c>
      <c r="P28" s="143">
        <v>0</v>
      </c>
      <c r="Q28" s="144">
        <f t="shared" si="0"/>
        <v>13001103</v>
      </c>
      <c r="T28" s="140"/>
    </row>
    <row r="29" spans="2:20" s="11" customFormat="1" ht="20.100000000000001" customHeight="1" x14ac:dyDescent="0.25">
      <c r="B29" s="150" t="s">
        <v>38</v>
      </c>
      <c r="C29" s="142" t="s">
        <v>76</v>
      </c>
      <c r="D29" s="142" t="s">
        <v>110</v>
      </c>
      <c r="E29" s="143">
        <f>+_xlfn.XLOOKUP(D29,'2026'!$O$2:$O$40,'2026'!$P$2:$P$40,,0)</f>
        <v>6924127</v>
      </c>
      <c r="F29" s="143">
        <f>+_xlfn.XLOOKUP(D29,'2026'!$O$2:$O$40,'2026'!$R$2:$R$40,,0)</f>
        <v>10382188</v>
      </c>
      <c r="G29" s="143">
        <f>+_xlfn.XLOOKUP(D29,'2026'!$O$2:$O$40,'2026'!$Q$2:$Q$40,,0)</f>
        <v>0</v>
      </c>
      <c r="H29" s="143">
        <v>0</v>
      </c>
      <c r="I29" s="143">
        <v>0</v>
      </c>
      <c r="J29" s="143">
        <v>0</v>
      </c>
      <c r="K29" s="143">
        <v>0</v>
      </c>
      <c r="L29" s="143">
        <v>0</v>
      </c>
      <c r="M29" s="143">
        <v>0</v>
      </c>
      <c r="N29" s="143">
        <v>0</v>
      </c>
      <c r="O29" s="143">
        <v>0</v>
      </c>
      <c r="P29" s="143">
        <v>0</v>
      </c>
      <c r="Q29" s="144">
        <f t="shared" si="0"/>
        <v>17306315</v>
      </c>
      <c r="T29" s="140"/>
    </row>
    <row r="30" spans="2:20" s="11" customFormat="1" ht="20.100000000000001" customHeight="1" x14ac:dyDescent="0.25">
      <c r="B30" s="150" t="s">
        <v>38</v>
      </c>
      <c r="C30" s="142" t="s">
        <v>76</v>
      </c>
      <c r="D30" s="142">
        <v>19</v>
      </c>
      <c r="E30" s="143">
        <f>+_xlfn.XLOOKUP(D30,'2026'!$O$2:$O$40,'2026'!$P$2:$P$40,,0)</f>
        <v>11131759</v>
      </c>
      <c r="F30" s="143">
        <f>+_xlfn.XLOOKUP(D30,'2026'!$O$2:$O$40,'2026'!$R$2:$R$40,,0)</f>
        <v>0</v>
      </c>
      <c r="G30" s="143">
        <f>+_xlfn.XLOOKUP(D30,'2026'!$O$2:$O$40,'2026'!$Q$2:$Q$40,,0)</f>
        <v>573284</v>
      </c>
      <c r="H30" s="143">
        <v>0</v>
      </c>
      <c r="I30" s="143">
        <v>0</v>
      </c>
      <c r="J30" s="143">
        <v>0</v>
      </c>
      <c r="K30" s="143">
        <v>0</v>
      </c>
      <c r="L30" s="143">
        <v>0</v>
      </c>
      <c r="M30" s="143">
        <v>0</v>
      </c>
      <c r="N30" s="143">
        <v>0</v>
      </c>
      <c r="O30" s="143">
        <v>0</v>
      </c>
      <c r="P30" s="143">
        <v>0</v>
      </c>
      <c r="Q30" s="144">
        <f t="shared" si="0"/>
        <v>11705043</v>
      </c>
      <c r="T30" s="140"/>
    </row>
    <row r="31" spans="2:20" s="11" customFormat="1" ht="20.100000000000001" customHeight="1" x14ac:dyDescent="0.25">
      <c r="B31" s="150" t="s">
        <v>38</v>
      </c>
      <c r="C31" s="142" t="s">
        <v>76</v>
      </c>
      <c r="D31" s="142" t="s">
        <v>109</v>
      </c>
      <c r="E31" s="143">
        <f>+_xlfn.XLOOKUP(D31,'2026'!$O$2:$O$40,'2026'!$P$2:$P$40,,0)</f>
        <v>6001005</v>
      </c>
      <c r="F31" s="143">
        <f>+_xlfn.XLOOKUP(D31,'2026'!$O$2:$O$40,'2026'!$R$2:$R$40,,0)</f>
        <v>8998039</v>
      </c>
      <c r="G31" s="143">
        <f>+_xlfn.XLOOKUP(D31,'2026'!$O$2:$O$40,'2026'!$Q$2:$Q$40,,0)</f>
        <v>309051</v>
      </c>
      <c r="H31" s="143">
        <v>0</v>
      </c>
      <c r="I31" s="143">
        <v>0</v>
      </c>
      <c r="J31" s="143">
        <v>0</v>
      </c>
      <c r="K31" s="143">
        <v>0</v>
      </c>
      <c r="L31" s="143">
        <v>0</v>
      </c>
      <c r="M31" s="143">
        <v>0</v>
      </c>
      <c r="N31" s="143">
        <v>0</v>
      </c>
      <c r="O31" s="143">
        <v>0</v>
      </c>
      <c r="P31" s="143">
        <v>0</v>
      </c>
      <c r="Q31" s="144">
        <f t="shared" si="0"/>
        <v>15308095</v>
      </c>
      <c r="T31" s="140"/>
    </row>
    <row r="32" spans="2:20" s="11" customFormat="1" ht="24.95" customHeight="1" x14ac:dyDescent="0.25">
      <c r="B32" s="146" t="s">
        <v>39</v>
      </c>
      <c r="C32" s="149"/>
      <c r="D32" s="149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8"/>
      <c r="T32" s="140"/>
    </row>
    <row r="33" spans="2:20" s="11" customFormat="1" ht="20.100000000000001" customHeight="1" x14ac:dyDescent="0.25">
      <c r="B33" s="150" t="s">
        <v>40</v>
      </c>
      <c r="C33" s="186" t="s">
        <v>41</v>
      </c>
      <c r="D33" s="186"/>
      <c r="E33" s="143">
        <f>+_xlfn.XLOOKUP(C33,'2026'!$B$2:$B$18,'2026'!$C$2:$C$18)</f>
        <v>19338111</v>
      </c>
      <c r="F33" s="143">
        <v>0</v>
      </c>
      <c r="G33" s="143">
        <v>0</v>
      </c>
      <c r="H33" s="143">
        <v>0</v>
      </c>
      <c r="I33" s="143">
        <f>+_xlfn.XLOOKUP(C33,'2026'!$B$2:$B$18,'2026'!$F$2:$F$18)</f>
        <v>5801429</v>
      </c>
      <c r="J33" s="143">
        <v>0</v>
      </c>
      <c r="K33" s="143">
        <v>0</v>
      </c>
      <c r="L33" s="143">
        <v>0</v>
      </c>
      <c r="M33" s="143">
        <v>0</v>
      </c>
      <c r="N33" s="143">
        <v>0</v>
      </c>
      <c r="O33" s="143">
        <v>0</v>
      </c>
      <c r="P33" s="143">
        <v>0</v>
      </c>
      <c r="Q33" s="144">
        <f t="shared" si="0"/>
        <v>25139540</v>
      </c>
      <c r="T33" s="140"/>
    </row>
    <row r="34" spans="2:20" s="11" customFormat="1" ht="20.100000000000001" customHeight="1" x14ac:dyDescent="0.25">
      <c r="B34" s="150" t="s">
        <v>42</v>
      </c>
      <c r="C34" s="186" t="s">
        <v>43</v>
      </c>
      <c r="D34" s="186"/>
      <c r="E34" s="143">
        <f>+_xlfn.XLOOKUP(C34,'2026'!$O$2:$O$40,'2026'!$P$2:$P$40,,0)</f>
        <v>13001103</v>
      </c>
      <c r="F34" s="143">
        <v>0</v>
      </c>
      <c r="G34" s="143">
        <f>+_xlfn.XLOOKUP(C34,'2026'!$O$2:$O$40,'2026'!$Q$2:$Q$40,,0)</f>
        <v>669555</v>
      </c>
      <c r="H34" s="143">
        <v>0</v>
      </c>
      <c r="I34" s="143">
        <v>0</v>
      </c>
      <c r="J34" s="143">
        <v>0</v>
      </c>
      <c r="K34" s="143">
        <v>0</v>
      </c>
      <c r="L34" s="143">
        <v>0</v>
      </c>
      <c r="M34" s="143">
        <v>0</v>
      </c>
      <c r="N34" s="143">
        <v>0</v>
      </c>
      <c r="O34" s="143">
        <v>0</v>
      </c>
      <c r="P34" s="143">
        <v>0</v>
      </c>
      <c r="Q34" s="144">
        <f t="shared" si="0"/>
        <v>13670658</v>
      </c>
      <c r="T34" s="140"/>
    </row>
    <row r="35" spans="2:20" s="11" customFormat="1" ht="24.95" customHeight="1" x14ac:dyDescent="0.25">
      <c r="B35" s="146" t="s">
        <v>44</v>
      </c>
      <c r="C35" s="149"/>
      <c r="D35" s="149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8"/>
      <c r="T35" s="140"/>
    </row>
    <row r="36" spans="2:20" s="11" customFormat="1" ht="20.100000000000001" customHeight="1" x14ac:dyDescent="0.25">
      <c r="B36" s="150" t="s">
        <v>256</v>
      </c>
      <c r="C36" s="186" t="s">
        <v>46</v>
      </c>
      <c r="D36" s="186"/>
      <c r="E36" s="143">
        <f>+_xlfn.XLOOKUP(C36,'2026'!$B$2:$B$18,'2026'!$C$2:$C$18)</f>
        <v>19195520</v>
      </c>
      <c r="F36" s="143">
        <v>0</v>
      </c>
      <c r="G36" s="143">
        <v>0</v>
      </c>
      <c r="H36" s="143">
        <v>0</v>
      </c>
      <c r="I36" s="143">
        <v>0</v>
      </c>
      <c r="J36" s="143">
        <v>0</v>
      </c>
      <c r="K36" s="143">
        <f>+_xlfn.XLOOKUP(C36,'2026'!$B$2:$B$18,'2026'!$J$2:$J$18)</f>
        <v>5728653</v>
      </c>
      <c r="L36" s="143">
        <v>0</v>
      </c>
      <c r="M36" s="143">
        <v>0</v>
      </c>
      <c r="N36" s="143">
        <f>+_xlfn.XLOOKUP(C36,'2026'!$B$2:$B$18,'2026'!$G$2:$G$18)</f>
        <v>22739696</v>
      </c>
      <c r="O36" s="143">
        <v>0</v>
      </c>
      <c r="P36" s="143">
        <v>0</v>
      </c>
      <c r="Q36" s="144">
        <f t="shared" si="0"/>
        <v>47663869</v>
      </c>
      <c r="T36" s="140"/>
    </row>
    <row r="37" spans="2:20" s="11" customFormat="1" ht="20.100000000000001" customHeight="1" x14ac:dyDescent="0.25">
      <c r="B37" s="150" t="s">
        <v>47</v>
      </c>
      <c r="C37" s="186" t="s">
        <v>247</v>
      </c>
      <c r="D37" s="186"/>
      <c r="E37" s="143">
        <f>+_xlfn.XLOOKUP(C37,'2026'!$B$2:$B$18,'2026'!$C$2:$C$18)</f>
        <v>13338162</v>
      </c>
      <c r="F37" s="143">
        <v>0</v>
      </c>
      <c r="G37" s="143">
        <v>0</v>
      </c>
      <c r="H37" s="143">
        <v>0</v>
      </c>
      <c r="I37" s="143">
        <v>0</v>
      </c>
      <c r="J37" s="143">
        <v>0</v>
      </c>
      <c r="K37" s="143">
        <f>+_xlfn.XLOOKUP(C37,'2026'!$B$2:$B$18,'2026'!$J$2:$J$18)</f>
        <v>4001447</v>
      </c>
      <c r="L37" s="143">
        <v>0</v>
      </c>
      <c r="M37" s="143">
        <f>+_xlfn.XLOOKUP(C37,'2026'!$B$2:$B$18,'2026'!$H$2:$H$18)</f>
        <v>5704105</v>
      </c>
      <c r="N37" s="143">
        <v>0</v>
      </c>
      <c r="O37" s="143">
        <v>0</v>
      </c>
      <c r="P37" s="143">
        <v>0</v>
      </c>
      <c r="Q37" s="144">
        <f t="shared" si="0"/>
        <v>23043714</v>
      </c>
      <c r="T37" s="140"/>
    </row>
    <row r="38" spans="2:20" s="11" customFormat="1" ht="20.100000000000001" customHeight="1" x14ac:dyDescent="0.25">
      <c r="B38" s="150" t="s">
        <v>47</v>
      </c>
      <c r="C38" s="186" t="s">
        <v>48</v>
      </c>
      <c r="D38" s="186"/>
      <c r="E38" s="143">
        <f>+_xlfn.XLOOKUP(C38,'2026'!$B$2:$B$18,'2026'!$C$2:$C$18)</f>
        <v>13338162</v>
      </c>
      <c r="F38" s="143">
        <v>0</v>
      </c>
      <c r="G38" s="143">
        <v>0</v>
      </c>
      <c r="H38" s="143">
        <v>0</v>
      </c>
      <c r="I38" s="143">
        <v>0</v>
      </c>
      <c r="J38" s="143">
        <v>0</v>
      </c>
      <c r="K38" s="143">
        <f>+_xlfn.XLOOKUP(C38,'2026'!$B$2:$B$18,'2026'!$J$2:$J$18)</f>
        <v>4001447</v>
      </c>
      <c r="L38" s="143">
        <v>0</v>
      </c>
      <c r="M38" s="143">
        <f>+_xlfn.XLOOKUP(C38,'2026'!$B$2:$B$18,'2026'!$H$2:$H$18)</f>
        <v>5310668</v>
      </c>
      <c r="N38" s="143">
        <v>0</v>
      </c>
      <c r="O38" s="143">
        <v>0</v>
      </c>
      <c r="P38" s="143">
        <v>0</v>
      </c>
      <c r="Q38" s="144">
        <f t="shared" si="0"/>
        <v>22650277</v>
      </c>
      <c r="T38" s="140"/>
    </row>
    <row r="39" spans="2:20" s="11" customFormat="1" ht="20.100000000000001" customHeight="1" x14ac:dyDescent="0.25">
      <c r="B39" s="150" t="s">
        <v>49</v>
      </c>
      <c r="C39" s="142" t="s">
        <v>77</v>
      </c>
      <c r="D39" s="142">
        <v>18</v>
      </c>
      <c r="E39" s="143">
        <f>+_xlfn.XLOOKUP(D39,'2026'!$O$2:$O$40,'2026'!$P$2:$P$40,,0)</f>
        <v>10322140</v>
      </c>
      <c r="F39" s="143">
        <f>+_xlfn.XLOOKUP(D39,'2026'!$O$2:$O$40,'2026'!$R$2:$R$40,,0)</f>
        <v>0</v>
      </c>
      <c r="G39" s="143">
        <f>+_xlfn.XLOOKUP(D39,'2026'!$O$2:$O$40,'2026'!$Q$2:$Q$40,,0)</f>
        <v>531589</v>
      </c>
      <c r="H39" s="143">
        <v>0</v>
      </c>
      <c r="I39" s="143">
        <v>0</v>
      </c>
      <c r="J39" s="143">
        <v>0</v>
      </c>
      <c r="K39" s="143">
        <v>0</v>
      </c>
      <c r="L39" s="143">
        <v>0</v>
      </c>
      <c r="M39" s="143">
        <v>0</v>
      </c>
      <c r="N39" s="143">
        <v>0</v>
      </c>
      <c r="O39" s="143">
        <v>0</v>
      </c>
      <c r="P39" s="143">
        <v>0</v>
      </c>
      <c r="Q39" s="144">
        <f>+SUM(E39:P39)</f>
        <v>10853729</v>
      </c>
      <c r="T39" s="140"/>
    </row>
    <row r="40" spans="2:20" s="11" customFormat="1" ht="20.100000000000001" customHeight="1" x14ac:dyDescent="0.25">
      <c r="B40" s="150" t="s">
        <v>49</v>
      </c>
      <c r="C40" s="142" t="s">
        <v>77</v>
      </c>
      <c r="D40" s="142" t="s">
        <v>107</v>
      </c>
      <c r="E40" s="143">
        <f>+_xlfn.XLOOKUP(D40,'2026'!$O$2:$O$40,'2026'!$P$2:$P$40,,0)</f>
        <v>5613755</v>
      </c>
      <c r="F40" s="143">
        <f>+_xlfn.XLOOKUP(D40,'2026'!$O$2:$O$40,'2026'!$R$2:$R$40,,0)</f>
        <v>8417388</v>
      </c>
      <c r="G40" s="143">
        <f>+_xlfn.XLOOKUP(D40,'2026'!$O$2:$O$40,'2026'!$Q$2:$Q$40,,0)</f>
        <v>289107</v>
      </c>
      <c r="H40" s="143">
        <v>0</v>
      </c>
      <c r="I40" s="143">
        <v>0</v>
      </c>
      <c r="J40" s="143">
        <v>0</v>
      </c>
      <c r="K40" s="143">
        <v>0</v>
      </c>
      <c r="L40" s="143">
        <v>0</v>
      </c>
      <c r="M40" s="143">
        <v>0</v>
      </c>
      <c r="N40" s="143">
        <v>0</v>
      </c>
      <c r="O40" s="143">
        <v>0</v>
      </c>
      <c r="P40" s="143">
        <v>0</v>
      </c>
      <c r="Q40" s="144">
        <f t="shared" si="0"/>
        <v>14320250</v>
      </c>
      <c r="T40" s="140"/>
    </row>
    <row r="41" spans="2:20" s="11" customFormat="1" ht="20.100000000000001" customHeight="1" x14ac:dyDescent="0.25">
      <c r="B41" s="150" t="s">
        <v>49</v>
      </c>
      <c r="C41" s="142" t="s">
        <v>77</v>
      </c>
      <c r="D41" s="142">
        <v>17</v>
      </c>
      <c r="E41" s="143">
        <f>+_xlfn.XLOOKUP(D41,'2026'!$O$2:$O$40,'2026'!$P$2:$P$40,,0)</f>
        <v>9600381</v>
      </c>
      <c r="F41" s="143">
        <f>+_xlfn.XLOOKUP(D41,'2026'!$O$2:$O$40,'2026'!$R$2:$R$40,,0)</f>
        <v>0</v>
      </c>
      <c r="G41" s="143">
        <f>+_xlfn.XLOOKUP(D41,'2026'!$O$2:$O$40,'2026'!$Q$2:$Q$40,,0)</f>
        <v>494418</v>
      </c>
      <c r="H41" s="143">
        <v>0</v>
      </c>
      <c r="I41" s="143">
        <v>0</v>
      </c>
      <c r="J41" s="143">
        <v>0</v>
      </c>
      <c r="K41" s="143">
        <v>0</v>
      </c>
      <c r="L41" s="143">
        <v>0</v>
      </c>
      <c r="M41" s="143">
        <v>0</v>
      </c>
      <c r="N41" s="143">
        <v>0</v>
      </c>
      <c r="O41" s="143">
        <v>0</v>
      </c>
      <c r="P41" s="143">
        <v>0</v>
      </c>
      <c r="Q41" s="144">
        <f t="shared" si="0"/>
        <v>10094799</v>
      </c>
      <c r="T41" s="140"/>
    </row>
    <row r="42" spans="2:20" s="11" customFormat="1" ht="20.100000000000001" customHeight="1" x14ac:dyDescent="0.25">
      <c r="B42" s="150" t="s">
        <v>49</v>
      </c>
      <c r="C42" s="142" t="s">
        <v>77</v>
      </c>
      <c r="D42" s="142" t="s">
        <v>106</v>
      </c>
      <c r="E42" s="143">
        <f>+_xlfn.XLOOKUP(D42,'2026'!$O$2:$O$40,'2026'!$P$2:$P$40,,0)</f>
        <v>5418765</v>
      </c>
      <c r="F42" s="143">
        <f>+_xlfn.XLOOKUP(D42,'2026'!$O$2:$O$40,'2026'!$R$2:$R$40,,0)</f>
        <v>8125015</v>
      </c>
      <c r="G42" s="143">
        <f>+_xlfn.XLOOKUP(D42,'2026'!$O$2:$O$40,'2026'!$Q$2:$Q$40,,0)</f>
        <v>279065</v>
      </c>
      <c r="H42" s="143">
        <v>0</v>
      </c>
      <c r="I42" s="143">
        <v>0</v>
      </c>
      <c r="J42" s="143">
        <v>0</v>
      </c>
      <c r="K42" s="143">
        <v>0</v>
      </c>
      <c r="L42" s="143">
        <v>0</v>
      </c>
      <c r="M42" s="143">
        <v>0</v>
      </c>
      <c r="N42" s="143">
        <v>0</v>
      </c>
      <c r="O42" s="143">
        <v>0</v>
      </c>
      <c r="P42" s="143">
        <v>0</v>
      </c>
      <c r="Q42" s="144">
        <f t="shared" si="0"/>
        <v>13822845</v>
      </c>
      <c r="T42" s="140"/>
    </row>
    <row r="43" spans="2:20" s="11" customFormat="1" ht="20.100000000000001" customHeight="1" x14ac:dyDescent="0.25">
      <c r="B43" s="150" t="s">
        <v>49</v>
      </c>
      <c r="C43" s="142" t="s">
        <v>77</v>
      </c>
      <c r="D43" s="142">
        <v>15</v>
      </c>
      <c r="E43" s="143">
        <f>+_xlfn.XLOOKUP(D43,'2026'!$O$2:$O$40,'2026'!$P$2:$P$40,,0)</f>
        <v>7372157</v>
      </c>
      <c r="F43" s="143">
        <f>+_xlfn.XLOOKUP(D43,'2026'!$O$2:$O$40,'2026'!$R$2:$R$40,,0)</f>
        <v>0</v>
      </c>
      <c r="G43" s="143">
        <f>+_xlfn.XLOOKUP(D43,'2026'!$O$2:$O$40,'2026'!$Q$2:$Q$40,,0)</f>
        <v>379665</v>
      </c>
      <c r="H43" s="143">
        <v>0</v>
      </c>
      <c r="I43" s="143">
        <v>0</v>
      </c>
      <c r="J43" s="143">
        <v>0</v>
      </c>
      <c r="K43" s="143">
        <v>0</v>
      </c>
      <c r="L43" s="143">
        <v>0</v>
      </c>
      <c r="M43" s="143">
        <v>0</v>
      </c>
      <c r="N43" s="143">
        <v>0</v>
      </c>
      <c r="O43" s="143">
        <v>0</v>
      </c>
      <c r="P43" s="143">
        <v>0</v>
      </c>
      <c r="Q43" s="144">
        <f t="shared" si="0"/>
        <v>7751822</v>
      </c>
      <c r="T43" s="140"/>
    </row>
    <row r="44" spans="2:20" s="11" customFormat="1" ht="20.100000000000001" customHeight="1" x14ac:dyDescent="0.25">
      <c r="B44" s="150" t="s">
        <v>49</v>
      </c>
      <c r="C44" s="142" t="s">
        <v>77</v>
      </c>
      <c r="D44" s="142" t="s">
        <v>105</v>
      </c>
      <c r="E44" s="143">
        <f>+_xlfn.XLOOKUP(D44,'2026'!$O$2:$O$40,'2026'!$P$2:$P$40,,0)</f>
        <v>4247897</v>
      </c>
      <c r="F44" s="143">
        <f>+_xlfn.XLOOKUP(D44,'2026'!$O$2:$O$40,'2026'!$R$2:$R$40,,0)</f>
        <v>6369390</v>
      </c>
      <c r="G44" s="143">
        <f>+_xlfn.XLOOKUP(D44,'2026'!$O$2:$O$40,'2026'!$Q$2:$Q$40,,0)</f>
        <v>218764</v>
      </c>
      <c r="H44" s="143">
        <v>0</v>
      </c>
      <c r="I44" s="143">
        <v>0</v>
      </c>
      <c r="J44" s="143">
        <v>0</v>
      </c>
      <c r="K44" s="143">
        <v>0</v>
      </c>
      <c r="L44" s="143">
        <v>0</v>
      </c>
      <c r="M44" s="143">
        <v>0</v>
      </c>
      <c r="N44" s="143">
        <v>0</v>
      </c>
      <c r="O44" s="143">
        <v>0</v>
      </c>
      <c r="P44" s="143">
        <v>0</v>
      </c>
      <c r="Q44" s="144">
        <f t="shared" si="0"/>
        <v>10836051</v>
      </c>
      <c r="T44" s="140"/>
    </row>
    <row r="45" spans="2:20" s="11" customFormat="1" ht="20.100000000000001" customHeight="1" x14ac:dyDescent="0.25">
      <c r="B45" s="150" t="s">
        <v>50</v>
      </c>
      <c r="C45" s="142" t="s">
        <v>78</v>
      </c>
      <c r="D45" s="142">
        <v>17</v>
      </c>
      <c r="E45" s="143">
        <f>+_xlfn.XLOOKUP(D45,'2026'!$O$2:$O$40,'2026'!$P$2:$P$40,,0)</f>
        <v>9600381</v>
      </c>
      <c r="F45" s="143">
        <f>+_xlfn.XLOOKUP(D45,'2026'!$O$2:$O$40,'2026'!$R$2:$R$40,,0)</f>
        <v>0</v>
      </c>
      <c r="G45" s="143">
        <f>+_xlfn.XLOOKUP(D45,'2026'!$O$2:$O$40,'2026'!$Q$2:$Q$40,,0)</f>
        <v>494418</v>
      </c>
      <c r="H45" s="143">
        <v>0</v>
      </c>
      <c r="I45" s="143">
        <v>0</v>
      </c>
      <c r="J45" s="143">
        <v>0</v>
      </c>
      <c r="K45" s="143">
        <v>0</v>
      </c>
      <c r="L45" s="143">
        <v>0</v>
      </c>
      <c r="M45" s="143">
        <v>0</v>
      </c>
      <c r="N45" s="143">
        <v>0</v>
      </c>
      <c r="O45" s="143">
        <v>0</v>
      </c>
      <c r="P45" s="143">
        <v>0</v>
      </c>
      <c r="Q45" s="144">
        <f t="shared" si="0"/>
        <v>10094799</v>
      </c>
      <c r="T45" s="140"/>
    </row>
    <row r="46" spans="2:20" s="11" customFormat="1" ht="24.95" customHeight="1" x14ac:dyDescent="0.25">
      <c r="B46" s="146" t="s">
        <v>51</v>
      </c>
      <c r="C46" s="149"/>
      <c r="D46" s="149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7"/>
      <c r="Q46" s="148"/>
      <c r="T46" s="140"/>
    </row>
    <row r="47" spans="2:20" s="11" customFormat="1" ht="20.100000000000001" customHeight="1" x14ac:dyDescent="0.25">
      <c r="B47" s="150" t="s">
        <v>52</v>
      </c>
      <c r="C47" s="142" t="s">
        <v>79</v>
      </c>
      <c r="D47" s="142">
        <v>19</v>
      </c>
      <c r="E47" s="143">
        <f>+_xlfn.XLOOKUP(D47,'2026'!$O$2:$O$40,'2026'!$P$2:$P$40,,0)</f>
        <v>11131759</v>
      </c>
      <c r="F47" s="143">
        <f>+_xlfn.XLOOKUP(D47,'2026'!$O$2:$O$40,'2026'!$R$2:$R$40,,0)</f>
        <v>0</v>
      </c>
      <c r="G47" s="143">
        <f>+_xlfn.XLOOKUP(D47,'2026'!$O$2:$O$40,'2026'!$Q$2:$Q$40,,0)</f>
        <v>573284</v>
      </c>
      <c r="H47" s="143">
        <v>0</v>
      </c>
      <c r="I47" s="143">
        <v>0</v>
      </c>
      <c r="J47" s="143">
        <v>0</v>
      </c>
      <c r="K47" s="143">
        <v>0</v>
      </c>
      <c r="L47" s="143">
        <v>0</v>
      </c>
      <c r="M47" s="143">
        <v>0</v>
      </c>
      <c r="N47" s="143">
        <v>0</v>
      </c>
      <c r="O47" s="143">
        <v>0</v>
      </c>
      <c r="P47" s="143">
        <v>0</v>
      </c>
      <c r="Q47" s="144">
        <f>+SUM(E47:P47)</f>
        <v>11705043</v>
      </c>
      <c r="T47" s="140"/>
    </row>
    <row r="48" spans="2:20" s="11" customFormat="1" ht="20.100000000000001" customHeight="1" x14ac:dyDescent="0.25">
      <c r="B48" s="150" t="s">
        <v>52</v>
      </c>
      <c r="C48" s="142" t="s">
        <v>79</v>
      </c>
      <c r="D48" s="142">
        <v>17</v>
      </c>
      <c r="E48" s="143">
        <f>+_xlfn.XLOOKUP(D48,'2026'!$O$2:$O$40,'2026'!$P$2:$P$40,,0)</f>
        <v>9600381</v>
      </c>
      <c r="F48" s="143">
        <f>+_xlfn.XLOOKUP(D48,'2026'!$O$2:$O$40,'2026'!$R$2:$R$40,,0)</f>
        <v>0</v>
      </c>
      <c r="G48" s="143">
        <f>+_xlfn.XLOOKUP(D48,'2026'!$O$2:$O$40,'2026'!$Q$2:$Q$40,,0)</f>
        <v>494418</v>
      </c>
      <c r="H48" s="143">
        <v>0</v>
      </c>
      <c r="I48" s="143">
        <v>0</v>
      </c>
      <c r="J48" s="143">
        <v>0</v>
      </c>
      <c r="K48" s="143">
        <v>0</v>
      </c>
      <c r="L48" s="143">
        <v>0</v>
      </c>
      <c r="M48" s="143">
        <v>0</v>
      </c>
      <c r="N48" s="143">
        <v>0</v>
      </c>
      <c r="O48" s="143">
        <v>0</v>
      </c>
      <c r="P48" s="143">
        <v>0</v>
      </c>
      <c r="Q48" s="144">
        <f t="shared" si="0"/>
        <v>10094799</v>
      </c>
      <c r="T48" s="140"/>
    </row>
    <row r="49" spans="2:20" s="11" customFormat="1" ht="20.100000000000001" customHeight="1" x14ac:dyDescent="0.25">
      <c r="B49" s="150" t="s">
        <v>52</v>
      </c>
      <c r="C49" s="142" t="s">
        <v>79</v>
      </c>
      <c r="D49" s="142">
        <v>15</v>
      </c>
      <c r="E49" s="143">
        <f>+_xlfn.XLOOKUP(D49,'2026'!$O$2:$O$40,'2026'!$P$2:$P$40,,0)</f>
        <v>7372157</v>
      </c>
      <c r="F49" s="143">
        <f>+_xlfn.XLOOKUP(D49,'2026'!$O$2:$O$40,'2026'!$R$2:$R$40,,0)</f>
        <v>0</v>
      </c>
      <c r="G49" s="143">
        <f>+_xlfn.XLOOKUP(D49,'2026'!$O$2:$O$40,'2026'!$Q$2:$Q$40,,0)</f>
        <v>379665</v>
      </c>
      <c r="H49" s="143">
        <v>0</v>
      </c>
      <c r="I49" s="143">
        <v>0</v>
      </c>
      <c r="J49" s="143">
        <v>0</v>
      </c>
      <c r="K49" s="143">
        <v>0</v>
      </c>
      <c r="L49" s="143">
        <v>0</v>
      </c>
      <c r="M49" s="143">
        <v>0</v>
      </c>
      <c r="N49" s="143">
        <v>0</v>
      </c>
      <c r="O49" s="143">
        <v>0</v>
      </c>
      <c r="P49" s="143">
        <v>0</v>
      </c>
      <c r="Q49" s="144">
        <f t="shared" si="0"/>
        <v>7751822</v>
      </c>
      <c r="T49" s="140"/>
    </row>
    <row r="50" spans="2:20" s="11" customFormat="1" ht="20.100000000000001" customHeight="1" x14ac:dyDescent="0.25">
      <c r="B50" s="150" t="s">
        <v>52</v>
      </c>
      <c r="C50" s="142" t="s">
        <v>79</v>
      </c>
      <c r="D50" s="142">
        <v>11</v>
      </c>
      <c r="E50" s="143">
        <f>+_xlfn.XLOOKUP(D50,'2026'!$O$2:$O$40,'2026'!$P$2:$P$40,,0)</f>
        <v>5804471</v>
      </c>
      <c r="F50" s="143">
        <f>+_xlfn.XLOOKUP(D50,'2026'!$O$2:$O$40,'2026'!$R$2:$R$40,,0)</f>
        <v>0</v>
      </c>
      <c r="G50" s="143">
        <f>+_xlfn.XLOOKUP(D50,'2026'!$O$2:$O$40,'2026'!$Q$2:$Q$40,,0)</f>
        <v>298928</v>
      </c>
      <c r="H50" s="143">
        <v>0</v>
      </c>
      <c r="I50" s="143">
        <v>0</v>
      </c>
      <c r="J50" s="143">
        <v>0</v>
      </c>
      <c r="K50" s="143">
        <v>0</v>
      </c>
      <c r="L50" s="143">
        <v>0</v>
      </c>
      <c r="M50" s="143">
        <v>0</v>
      </c>
      <c r="N50" s="143">
        <v>0</v>
      </c>
      <c r="O50" s="143">
        <v>0</v>
      </c>
      <c r="P50" s="143">
        <v>0</v>
      </c>
      <c r="Q50" s="144">
        <f t="shared" si="0"/>
        <v>6103399</v>
      </c>
      <c r="T50" s="140"/>
    </row>
    <row r="51" spans="2:20" s="11" customFormat="1" ht="20.100000000000001" customHeight="1" x14ac:dyDescent="0.25">
      <c r="B51" s="150" t="s">
        <v>53</v>
      </c>
      <c r="C51" s="142" t="s">
        <v>80</v>
      </c>
      <c r="D51" s="142">
        <v>19</v>
      </c>
      <c r="E51" s="143">
        <f>+_xlfn.XLOOKUP(D51,'2026'!$O$2:$O$40,'2026'!$P$2:$P$40,,0)</f>
        <v>11131759</v>
      </c>
      <c r="F51" s="143">
        <f>+_xlfn.XLOOKUP(D51,'2026'!$O$2:$O$40,'2026'!$R$2:$R$40,,0)</f>
        <v>0</v>
      </c>
      <c r="G51" s="143">
        <f>+_xlfn.XLOOKUP(D51,'2026'!$O$2:$O$40,'2026'!$Q$2:$Q$40,,0)</f>
        <v>573284</v>
      </c>
      <c r="H51" s="143">
        <v>0</v>
      </c>
      <c r="I51" s="143">
        <v>0</v>
      </c>
      <c r="J51" s="143">
        <v>0</v>
      </c>
      <c r="K51" s="143">
        <v>0</v>
      </c>
      <c r="L51" s="143">
        <v>0</v>
      </c>
      <c r="M51" s="143">
        <v>0</v>
      </c>
      <c r="N51" s="143">
        <v>0</v>
      </c>
      <c r="O51" s="143">
        <v>0</v>
      </c>
      <c r="P51" s="143">
        <v>0</v>
      </c>
      <c r="Q51" s="144">
        <f t="shared" si="0"/>
        <v>11705043</v>
      </c>
      <c r="T51" s="140"/>
    </row>
    <row r="52" spans="2:20" s="11" customFormat="1" ht="20.100000000000001" customHeight="1" x14ac:dyDescent="0.25">
      <c r="B52" s="150" t="s">
        <v>53</v>
      </c>
      <c r="C52" s="142" t="s">
        <v>80</v>
      </c>
      <c r="D52" s="142">
        <v>17</v>
      </c>
      <c r="E52" s="143">
        <f>+_xlfn.XLOOKUP(D52,'2026'!$O$2:$O$40,'2026'!$P$2:$P$40,,0)</f>
        <v>9600381</v>
      </c>
      <c r="F52" s="143">
        <f>+_xlfn.XLOOKUP(D52,'2026'!$O$2:$O$40,'2026'!$R$2:$R$40,,0)</f>
        <v>0</v>
      </c>
      <c r="G52" s="143">
        <f>+_xlfn.XLOOKUP(D52,'2026'!$O$2:$O$40,'2026'!$Q$2:$Q$40,,0)</f>
        <v>494418</v>
      </c>
      <c r="H52" s="143">
        <v>0</v>
      </c>
      <c r="I52" s="143">
        <v>0</v>
      </c>
      <c r="J52" s="143">
        <v>0</v>
      </c>
      <c r="K52" s="143">
        <v>0</v>
      </c>
      <c r="L52" s="143">
        <v>0</v>
      </c>
      <c r="M52" s="143">
        <v>0</v>
      </c>
      <c r="N52" s="143">
        <v>0</v>
      </c>
      <c r="O52" s="143">
        <v>0</v>
      </c>
      <c r="P52" s="143">
        <v>0</v>
      </c>
      <c r="Q52" s="144">
        <f t="shared" si="0"/>
        <v>10094799</v>
      </c>
      <c r="T52" s="140"/>
    </row>
    <row r="53" spans="2:20" s="11" customFormat="1" ht="20.100000000000001" customHeight="1" x14ac:dyDescent="0.25">
      <c r="B53" s="150" t="s">
        <v>53</v>
      </c>
      <c r="C53" s="142" t="s">
        <v>80</v>
      </c>
      <c r="D53" s="142">
        <v>15</v>
      </c>
      <c r="E53" s="143">
        <f>+_xlfn.XLOOKUP(D53,'2026'!$O$2:$O$40,'2026'!$P$2:$P$40,,0)</f>
        <v>7372157</v>
      </c>
      <c r="F53" s="143">
        <f>+_xlfn.XLOOKUP(D53,'2026'!$O$2:$O$40,'2026'!$R$2:$R$40,,0)</f>
        <v>0</v>
      </c>
      <c r="G53" s="143">
        <f>+_xlfn.XLOOKUP(D53,'2026'!$O$2:$O$40,'2026'!$Q$2:$Q$40,,0)</f>
        <v>379665</v>
      </c>
      <c r="H53" s="143">
        <v>0</v>
      </c>
      <c r="I53" s="143">
        <v>0</v>
      </c>
      <c r="J53" s="143">
        <v>0</v>
      </c>
      <c r="K53" s="143">
        <v>0</v>
      </c>
      <c r="L53" s="143">
        <v>0</v>
      </c>
      <c r="M53" s="143">
        <v>0</v>
      </c>
      <c r="N53" s="143">
        <v>0</v>
      </c>
      <c r="O53" s="143">
        <v>0</v>
      </c>
      <c r="P53" s="143">
        <v>0</v>
      </c>
      <c r="Q53" s="144">
        <f t="shared" si="0"/>
        <v>7751822</v>
      </c>
      <c r="T53" s="140"/>
    </row>
    <row r="54" spans="2:20" s="11" customFormat="1" ht="20.100000000000001" customHeight="1" x14ac:dyDescent="0.25">
      <c r="B54" s="150" t="s">
        <v>54</v>
      </c>
      <c r="C54" s="142" t="s">
        <v>81</v>
      </c>
      <c r="D54" s="142">
        <v>13</v>
      </c>
      <c r="E54" s="143">
        <f>+_xlfn.XLOOKUP(D54,'2026'!$O$2:$O$40,'2026'!$P$2:$P$40,,0)</f>
        <v>6778303</v>
      </c>
      <c r="F54" s="143">
        <f>+_xlfn.XLOOKUP(D54,'2026'!$O$2:$O$40,'2026'!$R$2:$R$40,,0)</f>
        <v>0</v>
      </c>
      <c r="G54" s="143">
        <f>+_xlfn.XLOOKUP(D54,'2026'!$O$2:$O$40,'2026'!$Q$2:$Q$40,,0)</f>
        <v>349081</v>
      </c>
      <c r="H54" s="143">
        <v>0</v>
      </c>
      <c r="I54" s="143">
        <v>0</v>
      </c>
      <c r="J54" s="143">
        <v>0</v>
      </c>
      <c r="K54" s="143">
        <v>0</v>
      </c>
      <c r="L54" s="143">
        <v>0</v>
      </c>
      <c r="M54" s="143">
        <v>0</v>
      </c>
      <c r="N54" s="143">
        <v>0</v>
      </c>
      <c r="O54" s="143">
        <v>0</v>
      </c>
      <c r="P54" s="143">
        <v>0</v>
      </c>
      <c r="Q54" s="144">
        <f t="shared" si="0"/>
        <v>7127384</v>
      </c>
      <c r="T54" s="140"/>
    </row>
    <row r="55" spans="2:20" s="11" customFormat="1" ht="20.100000000000001" customHeight="1" x14ac:dyDescent="0.25">
      <c r="B55" s="150" t="s">
        <v>54</v>
      </c>
      <c r="C55" s="142" t="s">
        <v>81</v>
      </c>
      <c r="D55" s="142" t="s">
        <v>104</v>
      </c>
      <c r="E55" s="143">
        <f>+_xlfn.XLOOKUP(D55,'2026'!$O$2:$O$40,'2026'!$P$2:$P$40,,0)</f>
        <v>3538344</v>
      </c>
      <c r="F55" s="143">
        <f>+_xlfn.XLOOKUP(D55,'2026'!$O$2:$O$40,'2026'!$R$2:$R$40,,0)</f>
        <v>5305471</v>
      </c>
      <c r="G55" s="143">
        <f>+_xlfn.XLOOKUP(D55,'2026'!$O$2:$O$40,'2026'!$Q$2:$Q$40,,0)</f>
        <v>182223</v>
      </c>
      <c r="H55" s="143">
        <v>0</v>
      </c>
      <c r="I55" s="143">
        <v>0</v>
      </c>
      <c r="J55" s="143">
        <v>0</v>
      </c>
      <c r="K55" s="143">
        <v>0</v>
      </c>
      <c r="L55" s="143">
        <v>0</v>
      </c>
      <c r="M55" s="143">
        <v>0</v>
      </c>
      <c r="N55" s="143">
        <v>0</v>
      </c>
      <c r="O55" s="143">
        <v>0</v>
      </c>
      <c r="P55" s="143">
        <v>0</v>
      </c>
      <c r="Q55" s="144">
        <f t="shared" si="0"/>
        <v>9026038</v>
      </c>
      <c r="T55" s="140"/>
    </row>
    <row r="56" spans="2:20" s="11" customFormat="1" ht="20.100000000000001" customHeight="1" x14ac:dyDescent="0.25">
      <c r="B56" s="150" t="s">
        <v>54</v>
      </c>
      <c r="C56" s="142" t="s">
        <v>81</v>
      </c>
      <c r="D56" s="142">
        <v>12</v>
      </c>
      <c r="E56" s="143">
        <f>+_xlfn.XLOOKUP(D56,'2026'!$O$2:$O$40,'2026'!$P$2:$P$40,,0)</f>
        <v>6255327</v>
      </c>
      <c r="F56" s="143">
        <f>+_xlfn.XLOOKUP(D56,'2026'!$O$2:$O$40,'2026'!$R$2:$R$40,,0)</f>
        <v>0</v>
      </c>
      <c r="G56" s="143">
        <f>+_xlfn.XLOOKUP(D56,'2026'!$O$2:$O$40,'2026'!$Q$2:$Q$40,,0)</f>
        <v>322146</v>
      </c>
      <c r="H56" s="143">
        <v>0</v>
      </c>
      <c r="I56" s="143">
        <v>0</v>
      </c>
      <c r="J56" s="143">
        <v>0</v>
      </c>
      <c r="K56" s="143">
        <v>0</v>
      </c>
      <c r="L56" s="143">
        <v>0</v>
      </c>
      <c r="M56" s="143">
        <v>0</v>
      </c>
      <c r="N56" s="143">
        <v>0</v>
      </c>
      <c r="O56" s="143">
        <v>0</v>
      </c>
      <c r="P56" s="143">
        <v>0</v>
      </c>
      <c r="Q56" s="144">
        <f t="shared" si="0"/>
        <v>6577473</v>
      </c>
      <c r="T56" s="140"/>
    </row>
    <row r="57" spans="2:20" s="11" customFormat="1" ht="20.100000000000001" customHeight="1" x14ac:dyDescent="0.25">
      <c r="B57" s="150" t="s">
        <v>54</v>
      </c>
      <c r="C57" s="142" t="s">
        <v>81</v>
      </c>
      <c r="D57" s="142" t="s">
        <v>101</v>
      </c>
      <c r="E57" s="143">
        <f>+_xlfn.XLOOKUP(D57,'2026'!$O$2:$O$40,'2026'!$P$2:$P$40,,0)</f>
        <v>3480951</v>
      </c>
      <c r="F57" s="143">
        <f>+_xlfn.XLOOKUP(D57,'2026'!$O$2:$O$40,'2026'!$R$2:$R$40,,0)</f>
        <v>5219415</v>
      </c>
      <c r="G57" s="143">
        <f>+_xlfn.XLOOKUP(D57,'2026'!$O$2:$O$40,'2026'!$Q$2:$Q$40,,0)</f>
        <v>179269</v>
      </c>
      <c r="H57" s="143">
        <v>0</v>
      </c>
      <c r="I57" s="143">
        <v>0</v>
      </c>
      <c r="J57" s="143">
        <v>0</v>
      </c>
      <c r="K57" s="143">
        <v>0</v>
      </c>
      <c r="L57" s="143">
        <v>0</v>
      </c>
      <c r="M57" s="143">
        <v>0</v>
      </c>
      <c r="N57" s="143">
        <v>0</v>
      </c>
      <c r="O57" s="143">
        <v>0</v>
      </c>
      <c r="P57" s="143">
        <v>0</v>
      </c>
      <c r="Q57" s="144">
        <f t="shared" si="0"/>
        <v>8879635</v>
      </c>
      <c r="T57" s="140"/>
    </row>
    <row r="58" spans="2:20" s="11" customFormat="1" ht="20.100000000000001" customHeight="1" x14ac:dyDescent="0.25">
      <c r="B58" s="150" t="s">
        <v>54</v>
      </c>
      <c r="C58" s="142" t="s">
        <v>81</v>
      </c>
      <c r="D58" s="142">
        <v>11</v>
      </c>
      <c r="E58" s="143">
        <f>+_xlfn.XLOOKUP(D58,'2026'!$O$2:$O$40,'2026'!$P$2:$P$40,,0)</f>
        <v>5804471</v>
      </c>
      <c r="F58" s="143">
        <f>+_xlfn.XLOOKUP(D58,'2026'!$O$2:$O$40,'2026'!$R$2:$R$40,,0)</f>
        <v>0</v>
      </c>
      <c r="G58" s="143">
        <f>+_xlfn.XLOOKUP(D58,'2026'!$O$2:$O$40,'2026'!$Q$2:$Q$40,,0)</f>
        <v>298928</v>
      </c>
      <c r="H58" s="143">
        <v>0</v>
      </c>
      <c r="I58" s="143">
        <v>0</v>
      </c>
      <c r="J58" s="143">
        <v>0</v>
      </c>
      <c r="K58" s="143">
        <v>0</v>
      </c>
      <c r="L58" s="143">
        <v>0</v>
      </c>
      <c r="M58" s="143">
        <v>0</v>
      </c>
      <c r="N58" s="143">
        <v>0</v>
      </c>
      <c r="O58" s="143">
        <v>0</v>
      </c>
      <c r="P58" s="143">
        <v>0</v>
      </c>
      <c r="Q58" s="144">
        <f t="shared" si="0"/>
        <v>6103399</v>
      </c>
      <c r="T58" s="140"/>
    </row>
    <row r="59" spans="2:20" s="11" customFormat="1" ht="20.100000000000001" customHeight="1" x14ac:dyDescent="0.25">
      <c r="B59" s="150" t="s">
        <v>54</v>
      </c>
      <c r="C59" s="142" t="s">
        <v>81</v>
      </c>
      <c r="D59" s="142" t="s">
        <v>100</v>
      </c>
      <c r="E59" s="143">
        <f>+_xlfn.XLOOKUP(D59,'2026'!$O$2:$O$40,'2026'!$P$2:$P$40,,0)</f>
        <v>3323384</v>
      </c>
      <c r="F59" s="143">
        <f>+_xlfn.XLOOKUP(D59,'2026'!$O$2:$O$40,'2026'!$R$2:$R$40,,0)</f>
        <v>4983155</v>
      </c>
      <c r="G59" s="143">
        <f>+_xlfn.XLOOKUP(D59,'2026'!$O$2:$O$40,'2026'!$Q$2:$Q$40,,0)</f>
        <v>171151</v>
      </c>
      <c r="H59" s="143">
        <v>0</v>
      </c>
      <c r="I59" s="143">
        <v>0</v>
      </c>
      <c r="J59" s="143">
        <v>0</v>
      </c>
      <c r="K59" s="143">
        <v>0</v>
      </c>
      <c r="L59" s="143">
        <v>0</v>
      </c>
      <c r="M59" s="143">
        <v>0</v>
      </c>
      <c r="N59" s="143">
        <v>0</v>
      </c>
      <c r="O59" s="143">
        <v>0</v>
      </c>
      <c r="P59" s="143">
        <v>0</v>
      </c>
      <c r="Q59" s="144">
        <f t="shared" si="0"/>
        <v>8477690</v>
      </c>
      <c r="T59" s="140"/>
    </row>
    <row r="60" spans="2:20" s="11" customFormat="1" ht="20.100000000000001" customHeight="1" x14ac:dyDescent="0.25">
      <c r="B60" s="150" t="s">
        <v>54</v>
      </c>
      <c r="C60" s="142" t="s">
        <v>81</v>
      </c>
      <c r="D60" s="142">
        <v>10</v>
      </c>
      <c r="E60" s="143">
        <f>+_xlfn.XLOOKUP(D60,'2026'!$O$2:$O$40,'2026'!$P$2:$P$40,,0)</f>
        <v>5314113</v>
      </c>
      <c r="F60" s="143">
        <f>+_xlfn.XLOOKUP(D60,'2026'!$O$2:$O$40,'2026'!$R$2:$R$40,,0)</f>
        <v>0</v>
      </c>
      <c r="G60" s="143">
        <f>+_xlfn.XLOOKUP(D60,'2026'!$O$2:$O$40,'2026'!$Q$2:$Q$40,,0)</f>
        <v>273675</v>
      </c>
      <c r="H60" s="143">
        <v>0</v>
      </c>
      <c r="I60" s="143">
        <v>0</v>
      </c>
      <c r="J60" s="143">
        <v>0</v>
      </c>
      <c r="K60" s="143">
        <v>0</v>
      </c>
      <c r="L60" s="143">
        <v>0</v>
      </c>
      <c r="M60" s="143">
        <v>0</v>
      </c>
      <c r="N60" s="143">
        <v>0</v>
      </c>
      <c r="O60" s="143">
        <v>0</v>
      </c>
      <c r="P60" s="143">
        <v>0</v>
      </c>
      <c r="Q60" s="144">
        <f t="shared" si="0"/>
        <v>5587788</v>
      </c>
      <c r="T60" s="140"/>
    </row>
    <row r="61" spans="2:20" s="11" customFormat="1" ht="20.100000000000001" customHeight="1" x14ac:dyDescent="0.25">
      <c r="B61" s="150" t="s">
        <v>54</v>
      </c>
      <c r="C61" s="142" t="s">
        <v>81</v>
      </c>
      <c r="D61" s="142" t="s">
        <v>99</v>
      </c>
      <c r="E61" s="143">
        <f>+_xlfn.XLOOKUP(D61,'2026'!$O$2:$O$40,'2026'!$P$2:$P$40,,0)</f>
        <v>3154511</v>
      </c>
      <c r="F61" s="143">
        <f>+_xlfn.XLOOKUP(D61,'2026'!$O$2:$O$40,'2026'!$R$2:$R$40,,0)</f>
        <v>4729943</v>
      </c>
      <c r="G61" s="143">
        <f>+_xlfn.XLOOKUP(D61,'2026'!$O$2:$O$40,'2026'!$Q$2:$Q$40,,0)</f>
        <v>162457</v>
      </c>
      <c r="H61" s="143">
        <v>0</v>
      </c>
      <c r="I61" s="143">
        <v>0</v>
      </c>
      <c r="J61" s="143">
        <v>0</v>
      </c>
      <c r="K61" s="143">
        <v>0</v>
      </c>
      <c r="L61" s="143">
        <v>0</v>
      </c>
      <c r="M61" s="143">
        <v>0</v>
      </c>
      <c r="N61" s="143">
        <v>0</v>
      </c>
      <c r="O61" s="143">
        <v>0</v>
      </c>
      <c r="P61" s="143">
        <v>0</v>
      </c>
      <c r="Q61" s="144">
        <f t="shared" si="0"/>
        <v>8046911</v>
      </c>
      <c r="T61" s="140"/>
    </row>
    <row r="62" spans="2:20" s="11" customFormat="1" ht="20.100000000000001" customHeight="1" x14ac:dyDescent="0.25">
      <c r="B62" s="150" t="s">
        <v>55</v>
      </c>
      <c r="C62" s="142" t="s">
        <v>82</v>
      </c>
      <c r="D62" s="142">
        <v>16</v>
      </c>
      <c r="E62" s="143">
        <f>+_xlfn.XLOOKUP(D62,'2026'!$O$2:$O$40,'2026'!$P$2:$P$40,,0)</f>
        <v>8080104</v>
      </c>
      <c r="F62" s="143">
        <f>+_xlfn.XLOOKUP(D62,'2026'!$O$2:$O$40,'2026'!$R$2:$R$40,,0)</f>
        <v>0</v>
      </c>
      <c r="G62" s="143">
        <f>+_xlfn.XLOOKUP(D62,'2026'!$O$2:$O$40,'2026'!$Q$2:$Q$40,,0)</f>
        <v>416124</v>
      </c>
      <c r="H62" s="143">
        <v>0</v>
      </c>
      <c r="I62" s="143">
        <v>0</v>
      </c>
      <c r="J62" s="143">
        <v>0</v>
      </c>
      <c r="K62" s="143">
        <v>0</v>
      </c>
      <c r="L62" s="143">
        <v>0</v>
      </c>
      <c r="M62" s="143">
        <v>0</v>
      </c>
      <c r="N62" s="143">
        <v>0</v>
      </c>
      <c r="O62" s="143">
        <v>0</v>
      </c>
      <c r="P62" s="143">
        <v>0</v>
      </c>
      <c r="Q62" s="144">
        <f t="shared" si="0"/>
        <v>8496228</v>
      </c>
      <c r="T62" s="140"/>
    </row>
    <row r="63" spans="2:20" s="11" customFormat="1" ht="20.100000000000001" customHeight="1" x14ac:dyDescent="0.25">
      <c r="B63" s="150" t="s">
        <v>55</v>
      </c>
      <c r="C63" s="142" t="s">
        <v>82</v>
      </c>
      <c r="D63" s="142" t="s">
        <v>103</v>
      </c>
      <c r="E63" s="143">
        <f>+_xlfn.XLOOKUP(D63,'2026'!$O$2:$O$40,'2026'!$P$2:$P$40,,0)</f>
        <v>4651151</v>
      </c>
      <c r="F63" s="143">
        <f>+_xlfn.XLOOKUP(D63,'2026'!$O$2:$O$40,'2026'!$R$2:$R$40,,0)</f>
        <v>6974038</v>
      </c>
      <c r="G63" s="143">
        <f>+_xlfn.XLOOKUP(D63,'2026'!$O$2:$O$40,'2026'!$Q$2:$Q$40,,0)</f>
        <v>239532</v>
      </c>
      <c r="H63" s="143">
        <v>0</v>
      </c>
      <c r="I63" s="143">
        <v>0</v>
      </c>
      <c r="J63" s="143">
        <v>0</v>
      </c>
      <c r="K63" s="143">
        <v>0</v>
      </c>
      <c r="L63" s="143">
        <v>0</v>
      </c>
      <c r="M63" s="143">
        <v>0</v>
      </c>
      <c r="N63" s="143">
        <v>0</v>
      </c>
      <c r="O63" s="143">
        <v>0</v>
      </c>
      <c r="P63" s="143">
        <v>0</v>
      </c>
      <c r="Q63" s="144">
        <f t="shared" si="0"/>
        <v>11864721</v>
      </c>
      <c r="T63" s="140"/>
    </row>
    <row r="64" spans="2:20" s="11" customFormat="1" ht="20.100000000000001" customHeight="1" x14ac:dyDescent="0.25">
      <c r="B64" s="150" t="s">
        <v>55</v>
      </c>
      <c r="C64" s="142" t="s">
        <v>82</v>
      </c>
      <c r="D64" s="142">
        <v>14</v>
      </c>
      <c r="E64" s="143">
        <f>+_xlfn.XLOOKUP(D64,'2026'!$O$2:$O$40,'2026'!$P$2:$P$40,,0)</f>
        <v>7163909</v>
      </c>
      <c r="F64" s="143">
        <f>+_xlfn.XLOOKUP(D64,'2026'!$O$2:$O$40,'2026'!$R$2:$R$40,,0)</f>
        <v>0</v>
      </c>
      <c r="G64" s="143">
        <f>+_xlfn.XLOOKUP(D64,'2026'!$O$2:$O$40,'2026'!$Q$2:$Q$40,,0)</f>
        <v>368941</v>
      </c>
      <c r="H64" s="143">
        <v>0</v>
      </c>
      <c r="I64" s="143">
        <v>0</v>
      </c>
      <c r="J64" s="143">
        <v>0</v>
      </c>
      <c r="K64" s="143">
        <v>0</v>
      </c>
      <c r="L64" s="143">
        <v>0</v>
      </c>
      <c r="M64" s="143">
        <v>0</v>
      </c>
      <c r="N64" s="143">
        <v>0</v>
      </c>
      <c r="O64" s="143">
        <v>0</v>
      </c>
      <c r="P64" s="143">
        <v>0</v>
      </c>
      <c r="Q64" s="144">
        <f t="shared" si="0"/>
        <v>7532850</v>
      </c>
      <c r="T64" s="140"/>
    </row>
    <row r="65" spans="2:20" s="11" customFormat="1" ht="20.100000000000001" customHeight="1" x14ac:dyDescent="0.25">
      <c r="B65" s="150" t="s">
        <v>55</v>
      </c>
      <c r="C65" s="142" t="s">
        <v>82</v>
      </c>
      <c r="D65" s="142" t="s">
        <v>102</v>
      </c>
      <c r="E65" s="143">
        <f>+_xlfn.XLOOKUP(D65,'2026'!$O$2:$O$40,'2026'!$P$2:$P$40,,0)</f>
        <v>3698387</v>
      </c>
      <c r="F65" s="143">
        <f>+_xlfn.XLOOKUP(D65,'2026'!$O$2:$O$40,'2026'!$R$2:$R$40,,0)</f>
        <v>5545443</v>
      </c>
      <c r="G65" s="143">
        <f>+_xlfn.XLOOKUP(D65,'2026'!$O$2:$O$40,'2026'!$Q$2:$Q$40,,0)</f>
        <v>190464</v>
      </c>
      <c r="H65" s="143">
        <v>0</v>
      </c>
      <c r="I65" s="143">
        <v>0</v>
      </c>
      <c r="J65" s="143">
        <v>0</v>
      </c>
      <c r="K65" s="143">
        <v>0</v>
      </c>
      <c r="L65" s="143">
        <v>0</v>
      </c>
      <c r="M65" s="143">
        <v>0</v>
      </c>
      <c r="N65" s="143">
        <v>0</v>
      </c>
      <c r="O65" s="143">
        <v>0</v>
      </c>
      <c r="P65" s="143">
        <v>0</v>
      </c>
      <c r="Q65" s="144">
        <f t="shared" si="0"/>
        <v>9434294</v>
      </c>
      <c r="T65" s="140"/>
    </row>
    <row r="66" spans="2:20" s="11" customFormat="1" ht="20.100000000000001" customHeight="1" x14ac:dyDescent="0.25">
      <c r="B66" s="150" t="s">
        <v>55</v>
      </c>
      <c r="C66" s="142" t="s">
        <v>82</v>
      </c>
      <c r="D66" s="142">
        <v>13</v>
      </c>
      <c r="E66" s="143">
        <f>+_xlfn.XLOOKUP(D66,'2026'!$O$2:$O$40,'2026'!$P$2:$P$40,,0)</f>
        <v>6778303</v>
      </c>
      <c r="F66" s="143">
        <f>+_xlfn.XLOOKUP(D66,'2026'!$O$2:$O$40,'2026'!$R$2:$R$40,,0)</f>
        <v>0</v>
      </c>
      <c r="G66" s="143">
        <f>+_xlfn.XLOOKUP(D66,'2026'!$O$2:$O$40,'2026'!$Q$2:$Q$40,,0)</f>
        <v>349081</v>
      </c>
      <c r="H66" s="143">
        <v>0</v>
      </c>
      <c r="I66" s="143">
        <v>0</v>
      </c>
      <c r="J66" s="143">
        <v>0</v>
      </c>
      <c r="K66" s="143">
        <v>0</v>
      </c>
      <c r="L66" s="143">
        <v>0</v>
      </c>
      <c r="M66" s="143">
        <v>0</v>
      </c>
      <c r="N66" s="143">
        <v>0</v>
      </c>
      <c r="O66" s="143">
        <v>0</v>
      </c>
      <c r="P66" s="143">
        <v>0</v>
      </c>
      <c r="Q66" s="144">
        <f>+SUM(E66:P66)</f>
        <v>7127384</v>
      </c>
      <c r="T66" s="140"/>
    </row>
    <row r="67" spans="2:20" s="11" customFormat="1" ht="20.100000000000001" customHeight="1" x14ac:dyDescent="0.25">
      <c r="B67" s="150" t="s">
        <v>55</v>
      </c>
      <c r="C67" s="142" t="s">
        <v>82</v>
      </c>
      <c r="D67" s="142">
        <v>12</v>
      </c>
      <c r="E67" s="143">
        <f>+_xlfn.XLOOKUP(D67,'2026'!$O$2:$O$40,'2026'!$P$2:$P$40,,0)</f>
        <v>6255327</v>
      </c>
      <c r="F67" s="143">
        <f>+_xlfn.XLOOKUP(D67,'2026'!$O$2:$O$40,'2026'!$R$2:$R$40,,0)</f>
        <v>0</v>
      </c>
      <c r="G67" s="143">
        <f>+_xlfn.XLOOKUP(D67,'2026'!$O$2:$O$40,'2026'!$Q$2:$Q$40,,0)</f>
        <v>322146</v>
      </c>
      <c r="H67" s="143">
        <v>0</v>
      </c>
      <c r="I67" s="143">
        <v>0</v>
      </c>
      <c r="J67" s="143">
        <v>0</v>
      </c>
      <c r="K67" s="143">
        <v>0</v>
      </c>
      <c r="L67" s="143">
        <v>0</v>
      </c>
      <c r="M67" s="143">
        <v>0</v>
      </c>
      <c r="N67" s="143">
        <v>0</v>
      </c>
      <c r="O67" s="143">
        <v>0</v>
      </c>
      <c r="P67" s="143">
        <v>0</v>
      </c>
      <c r="Q67" s="144">
        <f t="shared" si="0"/>
        <v>6577473</v>
      </c>
      <c r="T67" s="140"/>
    </row>
    <row r="68" spans="2:20" s="11" customFormat="1" ht="20.100000000000001" customHeight="1" x14ac:dyDescent="0.25">
      <c r="B68" s="150" t="s">
        <v>55</v>
      </c>
      <c r="C68" s="142" t="s">
        <v>82</v>
      </c>
      <c r="D68" s="142" t="s">
        <v>101</v>
      </c>
      <c r="E68" s="143">
        <f>+_xlfn.XLOOKUP(D68,'2026'!$O$2:$O$40,'2026'!$P$2:$P$40,,0)</f>
        <v>3480951</v>
      </c>
      <c r="F68" s="143">
        <f>+_xlfn.XLOOKUP(D68,'2026'!$O$2:$O$40,'2026'!$R$2:$R$40,,0)</f>
        <v>5219415</v>
      </c>
      <c r="G68" s="143">
        <f>+_xlfn.XLOOKUP(D68,'2026'!$O$2:$O$40,'2026'!$Q$2:$Q$40,,0)</f>
        <v>179269</v>
      </c>
      <c r="H68" s="143">
        <v>0</v>
      </c>
      <c r="I68" s="143">
        <v>0</v>
      </c>
      <c r="J68" s="143">
        <v>0</v>
      </c>
      <c r="K68" s="143">
        <v>0</v>
      </c>
      <c r="L68" s="143">
        <v>0</v>
      </c>
      <c r="M68" s="143">
        <v>0</v>
      </c>
      <c r="N68" s="143">
        <v>0</v>
      </c>
      <c r="O68" s="143">
        <v>0</v>
      </c>
      <c r="P68" s="143">
        <v>0</v>
      </c>
      <c r="Q68" s="144">
        <f t="shared" si="0"/>
        <v>8879635</v>
      </c>
      <c r="T68" s="140"/>
    </row>
    <row r="69" spans="2:20" s="11" customFormat="1" ht="20.100000000000001" customHeight="1" x14ac:dyDescent="0.25">
      <c r="B69" s="150" t="s">
        <v>55</v>
      </c>
      <c r="C69" s="142" t="s">
        <v>82</v>
      </c>
      <c r="D69" s="142">
        <v>11</v>
      </c>
      <c r="E69" s="143">
        <f>+_xlfn.XLOOKUP(D69,'2026'!$O$2:$O$40,'2026'!$P$2:$P$40,,0)</f>
        <v>5804471</v>
      </c>
      <c r="F69" s="143">
        <f>+_xlfn.XLOOKUP(D69,'2026'!$O$2:$O$40,'2026'!$R$2:$R$40,,0)</f>
        <v>0</v>
      </c>
      <c r="G69" s="143">
        <f>+_xlfn.XLOOKUP(D69,'2026'!$O$2:$O$40,'2026'!$Q$2:$Q$40,,0)</f>
        <v>298928</v>
      </c>
      <c r="H69" s="143">
        <v>0</v>
      </c>
      <c r="I69" s="143">
        <v>0</v>
      </c>
      <c r="J69" s="143">
        <v>0</v>
      </c>
      <c r="K69" s="143">
        <v>0</v>
      </c>
      <c r="L69" s="143">
        <v>0</v>
      </c>
      <c r="M69" s="143">
        <v>0</v>
      </c>
      <c r="N69" s="143">
        <v>0</v>
      </c>
      <c r="O69" s="143">
        <v>0</v>
      </c>
      <c r="P69" s="143">
        <v>0</v>
      </c>
      <c r="Q69" s="144">
        <f t="shared" si="0"/>
        <v>6103399</v>
      </c>
      <c r="T69" s="140"/>
    </row>
    <row r="70" spans="2:20" s="11" customFormat="1" ht="20.100000000000001" customHeight="1" x14ac:dyDescent="0.25">
      <c r="B70" s="150" t="s">
        <v>56</v>
      </c>
      <c r="C70" s="186" t="s">
        <v>246</v>
      </c>
      <c r="D70" s="186"/>
      <c r="E70" s="143">
        <f>+_xlfn.XLOOKUP(C70,'2026'!$O$2:$O$40,'2026'!$P$2:$P$40,,0)</f>
        <v>6814783</v>
      </c>
      <c r="F70" s="143">
        <v>0</v>
      </c>
      <c r="G70" s="143">
        <f>+_xlfn.XLOOKUP(C70,'2026'!$O$2:$O$40,'2026'!$Q$2:$Q$40,,0)</f>
        <v>350960</v>
      </c>
      <c r="H70" s="143">
        <v>0</v>
      </c>
      <c r="I70" s="143">
        <v>0</v>
      </c>
      <c r="J70" s="143">
        <v>0</v>
      </c>
      <c r="K70" s="143">
        <v>0</v>
      </c>
      <c r="L70" s="143">
        <v>0</v>
      </c>
      <c r="M70" s="143">
        <v>0</v>
      </c>
      <c r="N70" s="143">
        <v>0</v>
      </c>
      <c r="O70" s="143">
        <v>0</v>
      </c>
      <c r="P70" s="143">
        <v>0</v>
      </c>
      <c r="Q70" s="144">
        <f t="shared" si="0"/>
        <v>7165743</v>
      </c>
      <c r="T70" s="140"/>
    </row>
    <row r="71" spans="2:20" s="11" customFormat="1" ht="20.100000000000001" customHeight="1" x14ac:dyDescent="0.25">
      <c r="B71" s="150" t="s">
        <v>56</v>
      </c>
      <c r="C71" s="142" t="s">
        <v>83</v>
      </c>
      <c r="D71" s="142">
        <v>11</v>
      </c>
      <c r="E71" s="143">
        <f>+_xlfn.XLOOKUP(D71,'2026'!$O$2:$O$40,'2026'!$P$2:$P$40,,0)</f>
        <v>5804471</v>
      </c>
      <c r="F71" s="143">
        <f>+_xlfn.XLOOKUP(D71,'2026'!$O$2:$O$40,'2026'!$R$2:$R$40,,0)</f>
        <v>0</v>
      </c>
      <c r="G71" s="143">
        <f>+_xlfn.XLOOKUP(D71,'2026'!$O$2:$O$40,'2026'!$Q$2:$Q$40,,0)</f>
        <v>298928</v>
      </c>
      <c r="H71" s="143">
        <v>0</v>
      </c>
      <c r="I71" s="143">
        <v>0</v>
      </c>
      <c r="J71" s="143">
        <v>0</v>
      </c>
      <c r="K71" s="143">
        <v>0</v>
      </c>
      <c r="L71" s="143">
        <v>0</v>
      </c>
      <c r="M71" s="143">
        <v>0</v>
      </c>
      <c r="N71" s="143">
        <v>0</v>
      </c>
      <c r="O71" s="143">
        <v>0</v>
      </c>
      <c r="P71" s="143">
        <v>0</v>
      </c>
      <c r="Q71" s="144">
        <f t="shared" si="0"/>
        <v>6103399</v>
      </c>
      <c r="T71" s="140"/>
    </row>
    <row r="72" spans="2:20" s="11" customFormat="1" ht="20.100000000000001" customHeight="1" x14ac:dyDescent="0.25">
      <c r="B72" s="150" t="s">
        <v>56</v>
      </c>
      <c r="C72" s="142" t="s">
        <v>83</v>
      </c>
      <c r="D72" s="142" t="s">
        <v>100</v>
      </c>
      <c r="E72" s="143">
        <f>+_xlfn.XLOOKUP(D72,'2026'!$O$2:$O$40,'2026'!$P$2:$P$40,,0)</f>
        <v>3323384</v>
      </c>
      <c r="F72" s="143">
        <f>+_xlfn.XLOOKUP(D72,'2026'!$O$2:$O$40,'2026'!$R$2:$R$40,,0)</f>
        <v>4983155</v>
      </c>
      <c r="G72" s="143">
        <f>+_xlfn.XLOOKUP(D72,'2026'!$O$2:$O$40,'2026'!$Q$2:$Q$40,,0)</f>
        <v>171151</v>
      </c>
      <c r="H72" s="143">
        <v>0</v>
      </c>
      <c r="I72" s="143">
        <v>0</v>
      </c>
      <c r="J72" s="143">
        <v>0</v>
      </c>
      <c r="K72" s="143">
        <v>0</v>
      </c>
      <c r="L72" s="143">
        <v>0</v>
      </c>
      <c r="M72" s="143">
        <v>0</v>
      </c>
      <c r="N72" s="143">
        <v>0</v>
      </c>
      <c r="O72" s="143">
        <v>0</v>
      </c>
      <c r="P72" s="143">
        <v>0</v>
      </c>
      <c r="Q72" s="144">
        <f t="shared" si="0"/>
        <v>8477690</v>
      </c>
      <c r="T72" s="140"/>
    </row>
    <row r="73" spans="2:20" s="11" customFormat="1" ht="20.100000000000001" customHeight="1" x14ac:dyDescent="0.25">
      <c r="B73" s="150" t="s">
        <v>56</v>
      </c>
      <c r="C73" s="142" t="s">
        <v>83</v>
      </c>
      <c r="D73" s="142">
        <v>10</v>
      </c>
      <c r="E73" s="143">
        <f>+_xlfn.XLOOKUP(D73,'2026'!$O$2:$O$40,'2026'!$P$2:$P$40,,0)</f>
        <v>5314113</v>
      </c>
      <c r="F73" s="143">
        <f>+_xlfn.XLOOKUP(D73,'2026'!$O$2:$O$40,'2026'!$R$2:$R$40,,0)</f>
        <v>0</v>
      </c>
      <c r="G73" s="143">
        <f>+_xlfn.XLOOKUP(D73,'2026'!$O$2:$O$40,'2026'!$Q$2:$Q$40,,0)</f>
        <v>273675</v>
      </c>
      <c r="H73" s="143">
        <v>0</v>
      </c>
      <c r="I73" s="143">
        <v>0</v>
      </c>
      <c r="J73" s="143">
        <v>0</v>
      </c>
      <c r="K73" s="143">
        <v>0</v>
      </c>
      <c r="L73" s="143">
        <v>0</v>
      </c>
      <c r="M73" s="143">
        <v>0</v>
      </c>
      <c r="N73" s="143">
        <v>0</v>
      </c>
      <c r="O73" s="143">
        <v>0</v>
      </c>
      <c r="P73" s="143">
        <v>0</v>
      </c>
      <c r="Q73" s="144">
        <f t="shared" si="0"/>
        <v>5587788</v>
      </c>
      <c r="T73" s="140"/>
    </row>
    <row r="74" spans="2:20" s="11" customFormat="1" ht="20.100000000000001" customHeight="1" x14ac:dyDescent="0.25">
      <c r="B74" s="150" t="s">
        <v>56</v>
      </c>
      <c r="C74" s="142" t="s">
        <v>83</v>
      </c>
      <c r="D74" s="142" t="s">
        <v>99</v>
      </c>
      <c r="E74" s="143">
        <f>+_xlfn.XLOOKUP(D74,'2026'!$O$2:$O$40,'2026'!$P$2:$P$40,,0)</f>
        <v>3154511</v>
      </c>
      <c r="F74" s="143">
        <f>+_xlfn.XLOOKUP(D74,'2026'!$O$2:$O$40,'2026'!$R$2:$R$40,,0)</f>
        <v>4729943</v>
      </c>
      <c r="G74" s="143">
        <f>+_xlfn.XLOOKUP(D74,'2026'!$O$2:$O$40,'2026'!$Q$2:$Q$40,,0)</f>
        <v>162457</v>
      </c>
      <c r="H74" s="143">
        <v>0</v>
      </c>
      <c r="I74" s="143">
        <v>0</v>
      </c>
      <c r="J74" s="143">
        <v>0</v>
      </c>
      <c r="K74" s="143">
        <v>0</v>
      </c>
      <c r="L74" s="143">
        <v>0</v>
      </c>
      <c r="M74" s="143">
        <v>0</v>
      </c>
      <c r="N74" s="143">
        <v>0</v>
      </c>
      <c r="O74" s="143">
        <v>0</v>
      </c>
      <c r="P74" s="143">
        <v>0</v>
      </c>
      <c r="Q74" s="144">
        <f t="shared" si="0"/>
        <v>8046911</v>
      </c>
      <c r="T74" s="140"/>
    </row>
    <row r="75" spans="2:20" s="11" customFormat="1" ht="20.100000000000001" customHeight="1" x14ac:dyDescent="0.25">
      <c r="B75" s="150" t="s">
        <v>56</v>
      </c>
      <c r="C75" s="142" t="s">
        <v>83</v>
      </c>
      <c r="D75" s="142">
        <v>9</v>
      </c>
      <c r="E75" s="143">
        <f>+_xlfn.XLOOKUP(D75,'2026'!$O$2:$O$40,'2026'!$P$2:$P$40,,0)</f>
        <v>4885030</v>
      </c>
      <c r="F75" s="143">
        <f>+_xlfn.XLOOKUP(D75,'2026'!$O$2:$O$40,'2026'!$R$2:$R$40,,0)</f>
        <v>0</v>
      </c>
      <c r="G75" s="143">
        <f>+_xlfn.XLOOKUP(D75,'2026'!$O$2:$O$40,'2026'!$Q$2:$Q$40,,0)</f>
        <v>251575</v>
      </c>
      <c r="H75" s="143">
        <v>0</v>
      </c>
      <c r="I75" s="143">
        <v>0</v>
      </c>
      <c r="J75" s="143">
        <v>0</v>
      </c>
      <c r="K75" s="143">
        <v>0</v>
      </c>
      <c r="L75" s="143">
        <v>0</v>
      </c>
      <c r="M75" s="143">
        <v>0</v>
      </c>
      <c r="N75" s="143">
        <v>0</v>
      </c>
      <c r="O75" s="143">
        <v>0</v>
      </c>
      <c r="P75" s="143">
        <v>0</v>
      </c>
      <c r="Q75" s="144">
        <f t="shared" ref="Q75:Q110" si="1">+SUM(E75:P75)</f>
        <v>5136605</v>
      </c>
      <c r="T75" s="140"/>
    </row>
    <row r="76" spans="2:20" s="11" customFormat="1" ht="20.100000000000001" customHeight="1" x14ac:dyDescent="0.25">
      <c r="B76" s="150" t="s">
        <v>56</v>
      </c>
      <c r="C76" s="142" t="s">
        <v>83</v>
      </c>
      <c r="D76" s="142" t="s">
        <v>98</v>
      </c>
      <c r="E76" s="143">
        <f>+_xlfn.XLOOKUP(D76,'2026'!$O$2:$O$40,'2026'!$P$2:$P$40,,0)</f>
        <v>2982469</v>
      </c>
      <c r="F76" s="143">
        <f>+_xlfn.XLOOKUP(D76,'2026'!$O$2:$O$40,'2026'!$R$2:$R$40,,0)</f>
        <v>4471980</v>
      </c>
      <c r="G76" s="143">
        <f>+_xlfn.XLOOKUP(D76,'2026'!$O$2:$O$40,'2026'!$Q$2:$Q$40,,0)</f>
        <v>153593</v>
      </c>
      <c r="H76" s="143">
        <v>0</v>
      </c>
      <c r="I76" s="143">
        <v>0</v>
      </c>
      <c r="J76" s="143">
        <v>0</v>
      </c>
      <c r="K76" s="143">
        <v>0</v>
      </c>
      <c r="L76" s="143">
        <v>0</v>
      </c>
      <c r="M76" s="143">
        <v>0</v>
      </c>
      <c r="N76" s="143">
        <v>0</v>
      </c>
      <c r="O76" s="143">
        <f>+_xlfn.XLOOKUP(D76,'2026'!$O$24:$O$40,'2026'!$S$24:$S$40,,)</f>
        <v>249095</v>
      </c>
      <c r="P76" s="143">
        <f>+_xlfn.XLOOKUP(D76,'2026'!$O$24:$O$40,'2026'!$T$24:$T$40,,)</f>
        <v>0</v>
      </c>
      <c r="Q76" s="144">
        <f t="shared" si="1"/>
        <v>7857137</v>
      </c>
      <c r="T76" s="140"/>
    </row>
    <row r="77" spans="2:20" s="11" customFormat="1" ht="20.100000000000001" customHeight="1" x14ac:dyDescent="0.25">
      <c r="B77" s="150" t="s">
        <v>56</v>
      </c>
      <c r="C77" s="142" t="s">
        <v>83</v>
      </c>
      <c r="D77" s="142">
        <v>8</v>
      </c>
      <c r="E77" s="143">
        <f>+_xlfn.XLOOKUP(D77,'2026'!$O$2:$O$40,'2026'!$P$2:$P$40,,0)</f>
        <v>4476394</v>
      </c>
      <c r="F77" s="143">
        <f>+_xlfn.XLOOKUP(D77,'2026'!$O$2:$O$40,'2026'!$R$2:$R$40,,0)</f>
        <v>0</v>
      </c>
      <c r="G77" s="143">
        <f>+_xlfn.XLOOKUP(D77,'2026'!$O$2:$O$40,'2026'!$Q$2:$Q$40,,0)</f>
        <v>230531</v>
      </c>
      <c r="H77" s="143">
        <v>0</v>
      </c>
      <c r="I77" s="143">
        <v>0</v>
      </c>
      <c r="J77" s="143">
        <v>0</v>
      </c>
      <c r="K77" s="143">
        <v>0</v>
      </c>
      <c r="L77" s="143">
        <v>0</v>
      </c>
      <c r="M77" s="143">
        <v>0</v>
      </c>
      <c r="N77" s="143">
        <v>0</v>
      </c>
      <c r="O77" s="143">
        <v>0</v>
      </c>
      <c r="P77" s="143">
        <v>0</v>
      </c>
      <c r="Q77" s="144">
        <f t="shared" si="1"/>
        <v>4706925</v>
      </c>
      <c r="T77" s="140"/>
    </row>
    <row r="78" spans="2:20" s="11" customFormat="1" ht="24.95" customHeight="1" x14ac:dyDescent="0.25">
      <c r="B78" s="146" t="s">
        <v>57</v>
      </c>
      <c r="C78" s="149"/>
      <c r="D78" s="149"/>
      <c r="E78" s="147"/>
      <c r="F78" s="147"/>
      <c r="G78" s="147"/>
      <c r="H78" s="147"/>
      <c r="I78" s="147"/>
      <c r="J78" s="147"/>
      <c r="K78" s="147"/>
      <c r="L78" s="147"/>
      <c r="M78" s="147"/>
      <c r="N78" s="147"/>
      <c r="O78" s="147"/>
      <c r="P78" s="147"/>
      <c r="Q78" s="148"/>
      <c r="T78" s="140"/>
    </row>
    <row r="79" spans="2:20" s="11" customFormat="1" ht="20.100000000000001" customHeight="1" x14ac:dyDescent="0.25">
      <c r="B79" s="150" t="s">
        <v>58</v>
      </c>
      <c r="C79" s="142" t="s">
        <v>84</v>
      </c>
      <c r="D79" s="142">
        <v>15</v>
      </c>
      <c r="E79" s="143">
        <f>+_xlfn.XLOOKUP(D79,'2026'!$O$2:$O$40,'2026'!$P$2:$P$40,,0)</f>
        <v>7372157</v>
      </c>
      <c r="F79" s="143">
        <f>+_xlfn.XLOOKUP(D79,'2026'!$O$2:$O$40,'2026'!$R$2:$R$40,,0)</f>
        <v>0</v>
      </c>
      <c r="G79" s="143">
        <f>+_xlfn.XLOOKUP(D79,'2026'!$O$2:$O$40,'2026'!$Q$2:$Q$40,,0)</f>
        <v>379665</v>
      </c>
      <c r="H79" s="143">
        <v>0</v>
      </c>
      <c r="I79" s="143">
        <v>0</v>
      </c>
      <c r="J79" s="143">
        <v>0</v>
      </c>
      <c r="K79" s="143">
        <v>0</v>
      </c>
      <c r="L79" s="143">
        <v>0</v>
      </c>
      <c r="M79" s="143">
        <v>0</v>
      </c>
      <c r="N79" s="143">
        <v>0</v>
      </c>
      <c r="O79" s="143">
        <v>0</v>
      </c>
      <c r="P79" s="143">
        <v>0</v>
      </c>
      <c r="Q79" s="144">
        <f t="shared" si="1"/>
        <v>7751822</v>
      </c>
      <c r="T79" s="140"/>
    </row>
    <row r="80" spans="2:20" s="11" customFormat="1" ht="20.100000000000001" customHeight="1" x14ac:dyDescent="0.25">
      <c r="B80" s="150" t="s">
        <v>59</v>
      </c>
      <c r="C80" s="142" t="s">
        <v>84</v>
      </c>
      <c r="D80" s="142">
        <v>13</v>
      </c>
      <c r="E80" s="143">
        <f>+_xlfn.XLOOKUP(D80,'2026'!$O$2:$O$40,'2026'!$P$2:$P$40,,0)</f>
        <v>6778303</v>
      </c>
      <c r="F80" s="143">
        <f>+_xlfn.XLOOKUP(D80,'2026'!$O$2:$O$40,'2026'!$R$2:$R$40,,0)</f>
        <v>0</v>
      </c>
      <c r="G80" s="143">
        <f>+_xlfn.XLOOKUP(D80,'2026'!$O$2:$O$40,'2026'!$Q$2:$Q$40,,0)</f>
        <v>349081</v>
      </c>
      <c r="H80" s="143">
        <v>0</v>
      </c>
      <c r="I80" s="143">
        <v>0</v>
      </c>
      <c r="J80" s="143">
        <v>0</v>
      </c>
      <c r="K80" s="143">
        <v>0</v>
      </c>
      <c r="L80" s="143">
        <v>0</v>
      </c>
      <c r="M80" s="143">
        <v>0</v>
      </c>
      <c r="N80" s="143">
        <v>0</v>
      </c>
      <c r="O80" s="143">
        <v>0</v>
      </c>
      <c r="P80" s="143">
        <v>0</v>
      </c>
      <c r="Q80" s="144">
        <f t="shared" si="1"/>
        <v>7127384</v>
      </c>
      <c r="T80" s="140"/>
    </row>
    <row r="81" spans="2:20" s="11" customFormat="1" ht="20.100000000000001" customHeight="1" x14ac:dyDescent="0.25">
      <c r="B81" s="150" t="s">
        <v>59</v>
      </c>
      <c r="C81" s="142" t="s">
        <v>84</v>
      </c>
      <c r="D81" s="142">
        <v>12</v>
      </c>
      <c r="E81" s="143">
        <f>+_xlfn.XLOOKUP(D81,'2026'!$O$2:$O$40,'2026'!$P$2:$P$40,,0)</f>
        <v>6255327</v>
      </c>
      <c r="F81" s="143">
        <f>+_xlfn.XLOOKUP(D81,'2026'!$O$2:$O$40,'2026'!$R$2:$R$40,,0)</f>
        <v>0</v>
      </c>
      <c r="G81" s="143">
        <f>+_xlfn.XLOOKUP(D81,'2026'!$O$2:$O$40,'2026'!$Q$2:$Q$40,,0)</f>
        <v>322146</v>
      </c>
      <c r="H81" s="143">
        <v>0</v>
      </c>
      <c r="I81" s="143">
        <v>0</v>
      </c>
      <c r="J81" s="143">
        <v>0</v>
      </c>
      <c r="K81" s="143">
        <v>0</v>
      </c>
      <c r="L81" s="143">
        <v>0</v>
      </c>
      <c r="M81" s="143">
        <v>0</v>
      </c>
      <c r="N81" s="143">
        <v>0</v>
      </c>
      <c r="O81" s="143">
        <v>0</v>
      </c>
      <c r="P81" s="143">
        <v>0</v>
      </c>
      <c r="Q81" s="144">
        <f t="shared" si="1"/>
        <v>6577473</v>
      </c>
      <c r="T81" s="140"/>
    </row>
    <row r="82" spans="2:20" s="11" customFormat="1" ht="20.100000000000001" customHeight="1" x14ac:dyDescent="0.25">
      <c r="B82" s="150" t="s">
        <v>60</v>
      </c>
      <c r="C82" s="142" t="s">
        <v>85</v>
      </c>
      <c r="D82" s="142">
        <v>13</v>
      </c>
      <c r="E82" s="143">
        <f>+_xlfn.XLOOKUP(D82,'2026'!$O$2:$O$40,'2026'!$P$2:$P$40,,0)</f>
        <v>6778303</v>
      </c>
      <c r="F82" s="143">
        <f>+_xlfn.XLOOKUP(D82,'2026'!$O$2:$O$40,'2026'!$R$2:$R$40,,0)</f>
        <v>0</v>
      </c>
      <c r="G82" s="143">
        <f>+_xlfn.XLOOKUP(D82,'2026'!$O$2:$O$40,'2026'!$Q$2:$Q$40,,0)</f>
        <v>349081</v>
      </c>
      <c r="H82" s="143">
        <v>0</v>
      </c>
      <c r="I82" s="143">
        <v>0</v>
      </c>
      <c r="J82" s="143">
        <v>0</v>
      </c>
      <c r="K82" s="143">
        <v>0</v>
      </c>
      <c r="L82" s="143">
        <v>0</v>
      </c>
      <c r="M82" s="143">
        <v>0</v>
      </c>
      <c r="N82" s="143">
        <v>0</v>
      </c>
      <c r="O82" s="143">
        <v>0</v>
      </c>
      <c r="P82" s="143">
        <v>0</v>
      </c>
      <c r="Q82" s="144">
        <f t="shared" si="1"/>
        <v>7127384</v>
      </c>
      <c r="T82" s="140"/>
    </row>
    <row r="83" spans="2:20" s="11" customFormat="1" ht="20.100000000000001" customHeight="1" x14ac:dyDescent="0.25">
      <c r="B83" s="150" t="s">
        <v>61</v>
      </c>
      <c r="C83" s="142" t="s">
        <v>86</v>
      </c>
      <c r="D83" s="142">
        <v>11</v>
      </c>
      <c r="E83" s="143">
        <f>+_xlfn.XLOOKUP(D83,'2026'!$O$2:$O$40,'2026'!$P$2:$P$40,,0)</f>
        <v>5804471</v>
      </c>
      <c r="F83" s="143">
        <f>+_xlfn.XLOOKUP(D83,'2026'!$O$2:$O$40,'2026'!$R$2:$R$40,,0)</f>
        <v>0</v>
      </c>
      <c r="G83" s="143">
        <f>+_xlfn.XLOOKUP(D83,'2026'!$O$2:$O$40,'2026'!$Q$2:$Q$40,,0)</f>
        <v>298928</v>
      </c>
      <c r="H83" s="143">
        <v>0</v>
      </c>
      <c r="I83" s="143">
        <v>0</v>
      </c>
      <c r="J83" s="143">
        <v>0</v>
      </c>
      <c r="K83" s="143">
        <v>0</v>
      </c>
      <c r="L83" s="143">
        <v>0</v>
      </c>
      <c r="M83" s="143">
        <v>0</v>
      </c>
      <c r="N83" s="143">
        <v>0</v>
      </c>
      <c r="O83" s="143">
        <v>0</v>
      </c>
      <c r="P83" s="143">
        <v>0</v>
      </c>
      <c r="Q83" s="144">
        <f t="shared" si="1"/>
        <v>6103399</v>
      </c>
      <c r="T83" s="140"/>
    </row>
    <row r="84" spans="2:20" s="11" customFormat="1" ht="20.100000000000001" customHeight="1" x14ac:dyDescent="0.25">
      <c r="B84" s="150" t="s">
        <v>61</v>
      </c>
      <c r="C84" s="142" t="s">
        <v>86</v>
      </c>
      <c r="D84" s="142" t="s">
        <v>100</v>
      </c>
      <c r="E84" s="143">
        <f>+_xlfn.XLOOKUP(D84,'2026'!$O$2:$O$40,'2026'!$P$2:$P$40,,0)</f>
        <v>3323384</v>
      </c>
      <c r="F84" s="143">
        <f>+_xlfn.XLOOKUP(D84,'2026'!$O$2:$O$40,'2026'!$R$2:$R$40,,0)</f>
        <v>4983155</v>
      </c>
      <c r="G84" s="143">
        <f>+_xlfn.XLOOKUP(D84,'2026'!$O$2:$O$40,'2026'!$Q$2:$Q$40,,0)</f>
        <v>171151</v>
      </c>
      <c r="H84" s="143">
        <v>0</v>
      </c>
      <c r="I84" s="143">
        <v>0</v>
      </c>
      <c r="J84" s="143">
        <v>0</v>
      </c>
      <c r="K84" s="143">
        <v>0</v>
      </c>
      <c r="L84" s="143">
        <v>0</v>
      </c>
      <c r="M84" s="143">
        <v>0</v>
      </c>
      <c r="N84" s="143">
        <v>0</v>
      </c>
      <c r="O84" s="143">
        <v>0</v>
      </c>
      <c r="P84" s="143">
        <v>0</v>
      </c>
      <c r="Q84" s="144">
        <f t="shared" si="1"/>
        <v>8477690</v>
      </c>
      <c r="T84" s="140"/>
    </row>
    <row r="85" spans="2:20" s="11" customFormat="1" ht="20.100000000000001" customHeight="1" x14ac:dyDescent="0.25">
      <c r="B85" s="150" t="s">
        <v>61</v>
      </c>
      <c r="C85" s="142" t="s">
        <v>86</v>
      </c>
      <c r="D85" s="142">
        <v>10</v>
      </c>
      <c r="E85" s="143">
        <f>+_xlfn.XLOOKUP(D85,'2026'!$O$2:$O$40,'2026'!$P$2:$P$40,,0)</f>
        <v>5314113</v>
      </c>
      <c r="F85" s="143">
        <f>+_xlfn.XLOOKUP(D85,'2026'!$O$2:$O$40,'2026'!$R$2:$R$40,,0)</f>
        <v>0</v>
      </c>
      <c r="G85" s="143">
        <f>+_xlfn.XLOOKUP(D85,'2026'!$O$2:$O$40,'2026'!$Q$2:$Q$40,,0)</f>
        <v>273675</v>
      </c>
      <c r="H85" s="143">
        <v>0</v>
      </c>
      <c r="I85" s="143">
        <v>0</v>
      </c>
      <c r="J85" s="143">
        <v>0</v>
      </c>
      <c r="K85" s="143">
        <v>0</v>
      </c>
      <c r="L85" s="143">
        <v>0</v>
      </c>
      <c r="M85" s="143">
        <v>0</v>
      </c>
      <c r="N85" s="143">
        <v>0</v>
      </c>
      <c r="O85" s="143">
        <v>0</v>
      </c>
      <c r="P85" s="143">
        <v>0</v>
      </c>
      <c r="Q85" s="144">
        <f t="shared" si="1"/>
        <v>5587788</v>
      </c>
      <c r="T85" s="140"/>
    </row>
    <row r="86" spans="2:20" s="11" customFormat="1" ht="20.100000000000001" customHeight="1" x14ac:dyDescent="0.25">
      <c r="B86" s="150" t="s">
        <v>61</v>
      </c>
      <c r="C86" s="142" t="s">
        <v>86</v>
      </c>
      <c r="D86" s="142" t="s">
        <v>99</v>
      </c>
      <c r="E86" s="143">
        <f>+_xlfn.XLOOKUP(D86,'2026'!$O$2:$O$40,'2026'!$P$2:$P$40,,0)</f>
        <v>3154511</v>
      </c>
      <c r="F86" s="143">
        <f>+_xlfn.XLOOKUP(D86,'2026'!$O$2:$O$40,'2026'!$R$2:$R$40,,0)</f>
        <v>4729943</v>
      </c>
      <c r="G86" s="143">
        <f>+_xlfn.XLOOKUP(D86,'2026'!$O$2:$O$40,'2026'!$Q$2:$Q$40,,0)</f>
        <v>162457</v>
      </c>
      <c r="H86" s="143">
        <v>0</v>
      </c>
      <c r="I86" s="143">
        <v>0</v>
      </c>
      <c r="J86" s="143">
        <v>0</v>
      </c>
      <c r="K86" s="143">
        <v>0</v>
      </c>
      <c r="L86" s="143">
        <v>0</v>
      </c>
      <c r="M86" s="143">
        <v>0</v>
      </c>
      <c r="N86" s="143">
        <v>0</v>
      </c>
      <c r="O86" s="143">
        <v>0</v>
      </c>
      <c r="P86" s="143">
        <v>0</v>
      </c>
      <c r="Q86" s="144">
        <f t="shared" si="1"/>
        <v>8046911</v>
      </c>
      <c r="T86" s="140"/>
    </row>
    <row r="87" spans="2:20" s="11" customFormat="1" ht="20.100000000000001" customHeight="1" x14ac:dyDescent="0.25">
      <c r="B87" s="150" t="s">
        <v>61</v>
      </c>
      <c r="C87" s="142" t="s">
        <v>86</v>
      </c>
      <c r="D87" s="142">
        <v>9</v>
      </c>
      <c r="E87" s="143">
        <f>+_xlfn.XLOOKUP(D87,'2026'!$O$2:$O$40,'2026'!$P$2:$P$40,,0)</f>
        <v>4885030</v>
      </c>
      <c r="F87" s="143">
        <f>+_xlfn.XLOOKUP(D87,'2026'!$O$2:$O$40,'2026'!$R$2:$R$40,,0)</f>
        <v>0</v>
      </c>
      <c r="G87" s="143">
        <f>+_xlfn.XLOOKUP(D87,'2026'!$O$2:$O$40,'2026'!$Q$2:$Q$40,,0)</f>
        <v>251575</v>
      </c>
      <c r="H87" s="143">
        <v>0</v>
      </c>
      <c r="I87" s="143">
        <v>0</v>
      </c>
      <c r="J87" s="143">
        <v>0</v>
      </c>
      <c r="K87" s="143">
        <v>0</v>
      </c>
      <c r="L87" s="143">
        <v>0</v>
      </c>
      <c r="M87" s="143">
        <v>0</v>
      </c>
      <c r="N87" s="143">
        <v>0</v>
      </c>
      <c r="O87" s="143">
        <v>0</v>
      </c>
      <c r="P87" s="143">
        <v>0</v>
      </c>
      <c r="Q87" s="144">
        <f t="shared" si="1"/>
        <v>5136605</v>
      </c>
      <c r="T87" s="140"/>
    </row>
    <row r="88" spans="2:20" s="11" customFormat="1" ht="20.100000000000001" customHeight="1" x14ac:dyDescent="0.25">
      <c r="B88" s="150" t="s">
        <v>61</v>
      </c>
      <c r="C88" s="142" t="s">
        <v>86</v>
      </c>
      <c r="D88" s="142">
        <v>8</v>
      </c>
      <c r="E88" s="143">
        <f>+_xlfn.XLOOKUP(D88,'2026'!$O$2:$O$40,'2026'!$P$2:$P$40,,0)</f>
        <v>4476394</v>
      </c>
      <c r="F88" s="143">
        <f>+_xlfn.XLOOKUP(D88,'2026'!$O$2:$O$40,'2026'!$R$2:$R$40,,0)</f>
        <v>0</v>
      </c>
      <c r="G88" s="143">
        <f>+_xlfn.XLOOKUP(D88,'2026'!$O$2:$O$40,'2026'!$Q$2:$Q$40,,0)</f>
        <v>230531</v>
      </c>
      <c r="H88" s="143">
        <v>0</v>
      </c>
      <c r="I88" s="143">
        <v>0</v>
      </c>
      <c r="J88" s="143">
        <v>0</v>
      </c>
      <c r="K88" s="143">
        <v>0</v>
      </c>
      <c r="L88" s="143">
        <v>0</v>
      </c>
      <c r="M88" s="143">
        <v>0</v>
      </c>
      <c r="N88" s="143">
        <v>0</v>
      </c>
      <c r="O88" s="143">
        <v>0</v>
      </c>
      <c r="P88" s="143">
        <v>0</v>
      </c>
      <c r="Q88" s="144">
        <f t="shared" si="1"/>
        <v>4706925</v>
      </c>
      <c r="T88" s="140"/>
    </row>
    <row r="89" spans="2:20" s="11" customFormat="1" ht="20.100000000000001" customHeight="1" x14ac:dyDescent="0.25">
      <c r="B89" s="150" t="s">
        <v>62</v>
      </c>
      <c r="C89" s="142" t="s">
        <v>87</v>
      </c>
      <c r="D89" s="142">
        <v>10</v>
      </c>
      <c r="E89" s="143">
        <f>+_xlfn.XLOOKUP(D89,'2026'!$O$2:$O$40,'2026'!$P$2:$P$40,,0)</f>
        <v>5314113</v>
      </c>
      <c r="F89" s="143">
        <f>+_xlfn.XLOOKUP(D89,'2026'!$O$2:$O$40,'2026'!$R$2:$R$40,,0)</f>
        <v>0</v>
      </c>
      <c r="G89" s="143">
        <f>+_xlfn.XLOOKUP(D89,'2026'!$O$2:$O$40,'2026'!$Q$2:$Q$40,,0)</f>
        <v>273675</v>
      </c>
      <c r="H89" s="143">
        <v>0</v>
      </c>
      <c r="I89" s="143">
        <v>0</v>
      </c>
      <c r="J89" s="143">
        <v>0</v>
      </c>
      <c r="K89" s="143">
        <v>0</v>
      </c>
      <c r="L89" s="143">
        <v>0</v>
      </c>
      <c r="M89" s="143">
        <v>0</v>
      </c>
      <c r="N89" s="143">
        <v>0</v>
      </c>
      <c r="O89" s="143">
        <v>0</v>
      </c>
      <c r="P89" s="143">
        <v>0</v>
      </c>
      <c r="Q89" s="144">
        <f t="shared" si="1"/>
        <v>5587788</v>
      </c>
      <c r="T89" s="140"/>
    </row>
    <row r="90" spans="2:20" s="11" customFormat="1" ht="20.100000000000001" customHeight="1" x14ac:dyDescent="0.25">
      <c r="B90" s="150" t="s">
        <v>62</v>
      </c>
      <c r="C90" s="142" t="s">
        <v>87</v>
      </c>
      <c r="D90" s="142">
        <v>9</v>
      </c>
      <c r="E90" s="143">
        <f>+_xlfn.XLOOKUP(D90,'2026'!$O$2:$O$40,'2026'!$P$2:$P$40,,0)</f>
        <v>4885030</v>
      </c>
      <c r="F90" s="143">
        <f>+_xlfn.XLOOKUP(D90,'2026'!$O$2:$O$40,'2026'!$R$2:$R$40,,0)</f>
        <v>0</v>
      </c>
      <c r="G90" s="143">
        <f>+_xlfn.XLOOKUP(D90,'2026'!$O$2:$O$40,'2026'!$Q$2:$Q$40,,0)</f>
        <v>251575</v>
      </c>
      <c r="H90" s="143">
        <v>0</v>
      </c>
      <c r="I90" s="143">
        <v>0</v>
      </c>
      <c r="J90" s="143">
        <v>0</v>
      </c>
      <c r="K90" s="143">
        <v>0</v>
      </c>
      <c r="L90" s="143">
        <v>0</v>
      </c>
      <c r="M90" s="143">
        <v>0</v>
      </c>
      <c r="N90" s="143">
        <v>0</v>
      </c>
      <c r="O90" s="143">
        <v>0</v>
      </c>
      <c r="P90" s="143">
        <v>0</v>
      </c>
      <c r="Q90" s="144">
        <f t="shared" si="1"/>
        <v>5136605</v>
      </c>
      <c r="T90" s="140"/>
    </row>
    <row r="91" spans="2:20" s="11" customFormat="1" ht="20.100000000000001" customHeight="1" x14ac:dyDescent="0.25">
      <c r="B91" s="150" t="s">
        <v>62</v>
      </c>
      <c r="C91" s="142" t="s">
        <v>87</v>
      </c>
      <c r="D91" s="142" t="s">
        <v>98</v>
      </c>
      <c r="E91" s="143">
        <f>+_xlfn.XLOOKUP(D91,'2026'!$O$2:$O$40,'2026'!$P$2:$P$40,,0)</f>
        <v>2982469</v>
      </c>
      <c r="F91" s="143">
        <f>+_xlfn.XLOOKUP(D91,'2026'!$O$2:$O$40,'2026'!$R$2:$R$40,,0)</f>
        <v>4471980</v>
      </c>
      <c r="G91" s="143">
        <f>+_xlfn.XLOOKUP(D91,'2026'!$O$2:$O$40,'2026'!$Q$2:$Q$40,,0)</f>
        <v>153593</v>
      </c>
      <c r="H91" s="143">
        <v>0</v>
      </c>
      <c r="I91" s="143">
        <v>0</v>
      </c>
      <c r="J91" s="143">
        <v>0</v>
      </c>
      <c r="K91" s="143">
        <v>0</v>
      </c>
      <c r="L91" s="143">
        <v>0</v>
      </c>
      <c r="M91" s="143">
        <v>0</v>
      </c>
      <c r="N91" s="143">
        <v>0</v>
      </c>
      <c r="O91" s="143">
        <f>+_xlfn.XLOOKUP(D91,'2026'!$O$24:$O$40,'2026'!$S$24:$S$40,,)</f>
        <v>249095</v>
      </c>
      <c r="P91" s="143">
        <f>+_xlfn.XLOOKUP(D91,'2026'!$O$24:$O$40,'2026'!$T$24:$T$40,,)</f>
        <v>0</v>
      </c>
      <c r="Q91" s="144">
        <f t="shared" si="1"/>
        <v>7857137</v>
      </c>
      <c r="T91" s="140"/>
    </row>
    <row r="92" spans="2:20" s="11" customFormat="1" ht="20.100000000000001" customHeight="1" x14ac:dyDescent="0.25">
      <c r="B92" s="150" t="s">
        <v>62</v>
      </c>
      <c r="C92" s="142" t="s">
        <v>87</v>
      </c>
      <c r="D92" s="142">
        <v>8</v>
      </c>
      <c r="E92" s="143">
        <f>+_xlfn.XLOOKUP(D92,'2026'!$O$2:$O$40,'2026'!$P$2:$P$40,,0)</f>
        <v>4476394</v>
      </c>
      <c r="F92" s="143">
        <f>+_xlfn.XLOOKUP(D92,'2026'!$O$2:$O$40,'2026'!$R$2:$R$40,,0)</f>
        <v>0</v>
      </c>
      <c r="G92" s="143">
        <f>+_xlfn.XLOOKUP(D92,'2026'!$O$2:$O$40,'2026'!$Q$2:$Q$40,,0)</f>
        <v>230531</v>
      </c>
      <c r="H92" s="143">
        <v>0</v>
      </c>
      <c r="I92" s="143">
        <v>0</v>
      </c>
      <c r="J92" s="143">
        <v>0</v>
      </c>
      <c r="K92" s="143">
        <v>0</v>
      </c>
      <c r="L92" s="143">
        <v>0</v>
      </c>
      <c r="M92" s="143">
        <v>0</v>
      </c>
      <c r="N92" s="143">
        <v>0</v>
      </c>
      <c r="O92" s="143">
        <v>0</v>
      </c>
      <c r="P92" s="143">
        <v>0</v>
      </c>
      <c r="Q92" s="144">
        <f t="shared" si="1"/>
        <v>4706925</v>
      </c>
      <c r="T92" s="140"/>
    </row>
    <row r="93" spans="2:20" s="11" customFormat="1" ht="20.100000000000001" customHeight="1" x14ac:dyDescent="0.25">
      <c r="B93" s="150" t="s">
        <v>62</v>
      </c>
      <c r="C93" s="142" t="s">
        <v>87</v>
      </c>
      <c r="D93" s="142" t="s">
        <v>97</v>
      </c>
      <c r="E93" s="143">
        <f>+_xlfn.XLOOKUP(D93,'2026'!$O$2:$O$40,'2026'!$P$2:$P$40,,0)</f>
        <v>2835780</v>
      </c>
      <c r="F93" s="143">
        <f>+_xlfn.XLOOKUP(D93,'2026'!$O$2:$O$40,'2026'!$R$2:$R$40,,0)</f>
        <v>4252031</v>
      </c>
      <c r="G93" s="143">
        <f>+_xlfn.XLOOKUP(D93,'2026'!$O$2:$O$40,'2026'!$Q$2:$Q$40,,0)</f>
        <v>146040</v>
      </c>
      <c r="H93" s="143">
        <v>0</v>
      </c>
      <c r="I93" s="143">
        <v>0</v>
      </c>
      <c r="J93" s="143">
        <v>0</v>
      </c>
      <c r="K93" s="143">
        <v>0</v>
      </c>
      <c r="L93" s="143">
        <v>0</v>
      </c>
      <c r="M93" s="143">
        <v>0</v>
      </c>
      <c r="N93" s="143">
        <v>0</v>
      </c>
      <c r="O93" s="143">
        <f>+_xlfn.XLOOKUP(D93,'2026'!$O$24:$O$40,'2026'!$S$24:$S$40,,)</f>
        <v>249095</v>
      </c>
      <c r="P93" s="143">
        <f>+_xlfn.XLOOKUP(D93,'2026'!$O$24:$O$40,'2026'!$T$24:$T$40,,)</f>
        <v>105857</v>
      </c>
      <c r="Q93" s="144">
        <f t="shared" si="1"/>
        <v>7588803</v>
      </c>
      <c r="T93" s="140"/>
    </row>
    <row r="94" spans="2:20" s="11" customFormat="1" ht="20.100000000000001" customHeight="1" x14ac:dyDescent="0.25">
      <c r="B94" s="150" t="s">
        <v>63</v>
      </c>
      <c r="C94" s="142" t="s">
        <v>88</v>
      </c>
      <c r="D94" s="142">
        <v>6</v>
      </c>
      <c r="E94" s="143">
        <f>+_xlfn.XLOOKUP(D94,'2026'!$O$2:$O$40,'2026'!$P$2:$P$40,,0)</f>
        <v>3698761</v>
      </c>
      <c r="F94" s="143">
        <f>+_xlfn.XLOOKUP(D94,'2026'!$O$2:$O$40,'2026'!$R$2:$R$40,,0)</f>
        <v>0</v>
      </c>
      <c r="G94" s="143">
        <f>+_xlfn.XLOOKUP(D94,'2026'!$O$2:$O$40,'2026'!$Q$2:$Q$40,,0)</f>
        <v>190485</v>
      </c>
      <c r="H94" s="143">
        <v>0</v>
      </c>
      <c r="I94" s="143">
        <v>0</v>
      </c>
      <c r="J94" s="143">
        <v>0</v>
      </c>
      <c r="K94" s="143">
        <v>0</v>
      </c>
      <c r="L94" s="143">
        <v>0</v>
      </c>
      <c r="M94" s="143">
        <v>0</v>
      </c>
      <c r="N94" s="143">
        <v>0</v>
      </c>
      <c r="O94" s="143">
        <v>0</v>
      </c>
      <c r="P94" s="143">
        <v>0</v>
      </c>
      <c r="Q94" s="144">
        <f t="shared" si="1"/>
        <v>3889246</v>
      </c>
      <c r="T94" s="140"/>
    </row>
    <row r="95" spans="2:20" s="11" customFormat="1" ht="20.100000000000001" customHeight="1" x14ac:dyDescent="0.25">
      <c r="B95" s="150" t="s">
        <v>63</v>
      </c>
      <c r="C95" s="142" t="s">
        <v>88</v>
      </c>
      <c r="D95" s="142" t="s">
        <v>96</v>
      </c>
      <c r="E95" s="143">
        <f>+_xlfn.XLOOKUP(D95,'2026'!$O$2:$O$40,'2026'!$P$2:$P$40,,0)</f>
        <v>2500997</v>
      </c>
      <c r="F95" s="143">
        <f>+_xlfn.XLOOKUP(D95,'2026'!$O$2:$O$40,'2026'!$R$2:$R$40,,0)</f>
        <v>3750050</v>
      </c>
      <c r="G95" s="143">
        <f>+_xlfn.XLOOKUP(D95,'2026'!$O$2:$O$40,'2026'!$Q$2:$Q$40,,0)</f>
        <v>128799</v>
      </c>
      <c r="H95" s="143">
        <v>0</v>
      </c>
      <c r="I95" s="143">
        <v>0</v>
      </c>
      <c r="J95" s="143">
        <v>0</v>
      </c>
      <c r="K95" s="143">
        <v>0</v>
      </c>
      <c r="L95" s="143">
        <v>0</v>
      </c>
      <c r="M95" s="143">
        <v>0</v>
      </c>
      <c r="N95" s="143">
        <v>0</v>
      </c>
      <c r="O95" s="143">
        <f>+_xlfn.XLOOKUP(D95,'2026'!$O$24:$O$40,'2026'!$S$24:$S$40,,)</f>
        <v>249095</v>
      </c>
      <c r="P95" s="143">
        <f>+_xlfn.XLOOKUP(D95,'2026'!$O$24:$O$40,'2026'!$T$24:$T$40,,)</f>
        <v>105857</v>
      </c>
      <c r="Q95" s="144">
        <f t="shared" si="1"/>
        <v>6734798</v>
      </c>
      <c r="T95" s="140"/>
    </row>
    <row r="96" spans="2:20" s="11" customFormat="1" ht="24.95" customHeight="1" x14ac:dyDescent="0.25">
      <c r="B96" s="146" t="s">
        <v>64</v>
      </c>
      <c r="C96" s="149"/>
      <c r="D96" s="149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8"/>
      <c r="T96" s="140"/>
    </row>
    <row r="97" spans="1:20" s="11" customFormat="1" ht="20.100000000000001" customHeight="1" x14ac:dyDescent="0.25">
      <c r="B97" s="150" t="s">
        <v>65</v>
      </c>
      <c r="C97" s="142" t="s">
        <v>89</v>
      </c>
      <c r="D97" s="142">
        <v>14</v>
      </c>
      <c r="E97" s="143">
        <f>+_xlfn.XLOOKUP(D97,'2026'!$O$2:$O$40,'2026'!$P$2:$P$40,,0)</f>
        <v>7163909</v>
      </c>
      <c r="F97" s="143">
        <f>+_xlfn.XLOOKUP(D97,'2026'!$O$2:$O$40,'2026'!$R$2:$R$40,,0)</f>
        <v>0</v>
      </c>
      <c r="G97" s="143">
        <f>+_xlfn.XLOOKUP(D97,'2026'!$O$2:$O$40,'2026'!$Q$2:$Q$40,,0)</f>
        <v>368941</v>
      </c>
      <c r="H97" s="143">
        <v>0</v>
      </c>
      <c r="I97" s="143">
        <v>0</v>
      </c>
      <c r="J97" s="143">
        <v>0</v>
      </c>
      <c r="K97" s="143">
        <v>0</v>
      </c>
      <c r="L97" s="143">
        <v>0</v>
      </c>
      <c r="M97" s="143">
        <v>0</v>
      </c>
      <c r="N97" s="143">
        <v>0</v>
      </c>
      <c r="O97" s="143">
        <v>0</v>
      </c>
      <c r="P97" s="143">
        <v>0</v>
      </c>
      <c r="Q97" s="144">
        <f t="shared" si="1"/>
        <v>7532850</v>
      </c>
      <c r="T97" s="140"/>
    </row>
    <row r="98" spans="1:20" s="11" customFormat="1" ht="20.100000000000001" customHeight="1" x14ac:dyDescent="0.25">
      <c r="B98" s="150" t="s">
        <v>65</v>
      </c>
      <c r="C98" s="142" t="s">
        <v>89</v>
      </c>
      <c r="D98" s="142">
        <v>13</v>
      </c>
      <c r="E98" s="143">
        <f>+_xlfn.XLOOKUP(D98,'2026'!$O$2:$O$40,'2026'!$P$2:$P$40,,0)</f>
        <v>6778303</v>
      </c>
      <c r="F98" s="143">
        <f>+_xlfn.XLOOKUP(D98,'2026'!$O$2:$O$40,'2026'!$R$2:$R$40,,0)</f>
        <v>0</v>
      </c>
      <c r="G98" s="143">
        <f>+_xlfn.XLOOKUP(D98,'2026'!$O$2:$O$40,'2026'!$Q$2:$Q$40,,0)</f>
        <v>349081</v>
      </c>
      <c r="H98" s="143">
        <v>0</v>
      </c>
      <c r="I98" s="143">
        <v>0</v>
      </c>
      <c r="J98" s="143">
        <v>0</v>
      </c>
      <c r="K98" s="143">
        <v>0</v>
      </c>
      <c r="L98" s="143">
        <v>0</v>
      </c>
      <c r="M98" s="143">
        <v>0</v>
      </c>
      <c r="N98" s="143">
        <v>0</v>
      </c>
      <c r="O98" s="143">
        <v>0</v>
      </c>
      <c r="P98" s="143">
        <v>0</v>
      </c>
      <c r="Q98" s="144">
        <f t="shared" si="1"/>
        <v>7127384</v>
      </c>
      <c r="T98" s="140"/>
    </row>
    <row r="99" spans="1:20" s="11" customFormat="1" ht="20.100000000000001" customHeight="1" x14ac:dyDescent="0.25">
      <c r="B99" s="150" t="s">
        <v>65</v>
      </c>
      <c r="C99" s="142" t="s">
        <v>89</v>
      </c>
      <c r="D99" s="142">
        <v>11</v>
      </c>
      <c r="E99" s="143">
        <f>+_xlfn.XLOOKUP(D99,'2026'!$O$2:$O$40,'2026'!$P$2:$P$40,,0)</f>
        <v>5804471</v>
      </c>
      <c r="F99" s="143">
        <f>+_xlfn.XLOOKUP(D99,'2026'!$O$2:$O$40,'2026'!$R$2:$R$40,,0)</f>
        <v>0</v>
      </c>
      <c r="G99" s="143">
        <f>+_xlfn.XLOOKUP(D99,'2026'!$O$2:$O$40,'2026'!$Q$2:$Q$40,,0)</f>
        <v>298928</v>
      </c>
      <c r="H99" s="143">
        <v>0</v>
      </c>
      <c r="I99" s="143">
        <v>0</v>
      </c>
      <c r="J99" s="143">
        <v>0</v>
      </c>
      <c r="K99" s="143">
        <v>0</v>
      </c>
      <c r="L99" s="143">
        <v>0</v>
      </c>
      <c r="M99" s="143">
        <v>0</v>
      </c>
      <c r="N99" s="143">
        <v>0</v>
      </c>
      <c r="O99" s="143">
        <v>0</v>
      </c>
      <c r="P99" s="143">
        <v>0</v>
      </c>
      <c r="Q99" s="144">
        <f t="shared" si="1"/>
        <v>6103399</v>
      </c>
      <c r="T99" s="140"/>
    </row>
    <row r="100" spans="1:20" s="11" customFormat="1" ht="20.100000000000001" customHeight="1" x14ac:dyDescent="0.25">
      <c r="B100" s="150" t="s">
        <v>66</v>
      </c>
      <c r="C100" s="142" t="s">
        <v>90</v>
      </c>
      <c r="D100" s="142">
        <v>8</v>
      </c>
      <c r="E100" s="143">
        <f>+_xlfn.XLOOKUP(D100,'2026'!$O$2:$O$40,'2026'!$P$2:$P$40,,0)</f>
        <v>4476394</v>
      </c>
      <c r="F100" s="143">
        <f>+_xlfn.XLOOKUP(D100,'2026'!$O$2:$O$40,'2026'!$R$2:$R$40,,0)</f>
        <v>0</v>
      </c>
      <c r="G100" s="143">
        <f>+_xlfn.XLOOKUP(D100,'2026'!$O$2:$O$40,'2026'!$Q$2:$Q$40,,0)</f>
        <v>230531</v>
      </c>
      <c r="H100" s="143">
        <v>0</v>
      </c>
      <c r="I100" s="143">
        <v>0</v>
      </c>
      <c r="J100" s="143">
        <v>0</v>
      </c>
      <c r="K100" s="143">
        <v>0</v>
      </c>
      <c r="L100" s="143">
        <v>0</v>
      </c>
      <c r="M100" s="143">
        <v>0</v>
      </c>
      <c r="N100" s="143">
        <v>0</v>
      </c>
      <c r="O100" s="143">
        <v>0</v>
      </c>
      <c r="P100" s="143">
        <v>0</v>
      </c>
      <c r="Q100" s="144">
        <f t="shared" si="1"/>
        <v>4706925</v>
      </c>
      <c r="T100" s="140"/>
    </row>
    <row r="101" spans="1:20" s="11" customFormat="1" ht="20.100000000000001" customHeight="1" x14ac:dyDescent="0.25">
      <c r="B101" s="150" t="s">
        <v>66</v>
      </c>
      <c r="C101" s="142" t="s">
        <v>90</v>
      </c>
      <c r="D101" s="142">
        <v>6</v>
      </c>
      <c r="E101" s="143">
        <f>+_xlfn.XLOOKUP(D101,'2026'!$O$2:$O$40,'2026'!$P$2:$P$40,,0)</f>
        <v>3698761</v>
      </c>
      <c r="F101" s="143">
        <f>+_xlfn.XLOOKUP(D101,'2026'!$O$2:$O$40,'2026'!$R$2:$R$40,,0)</f>
        <v>0</v>
      </c>
      <c r="G101" s="143">
        <f>+_xlfn.XLOOKUP(D101,'2026'!$O$2:$O$40,'2026'!$Q$2:$Q$40,,0)</f>
        <v>190485</v>
      </c>
      <c r="H101" s="143">
        <v>0</v>
      </c>
      <c r="I101" s="143">
        <v>0</v>
      </c>
      <c r="J101" s="143">
        <v>0</v>
      </c>
      <c r="K101" s="143">
        <v>0</v>
      </c>
      <c r="L101" s="143">
        <v>0</v>
      </c>
      <c r="M101" s="143">
        <v>0</v>
      </c>
      <c r="N101" s="143">
        <v>0</v>
      </c>
      <c r="O101" s="143">
        <v>0</v>
      </c>
      <c r="P101" s="143">
        <v>0</v>
      </c>
      <c r="Q101" s="144">
        <f t="shared" si="1"/>
        <v>3889246</v>
      </c>
      <c r="T101" s="140"/>
    </row>
    <row r="102" spans="1:20" s="11" customFormat="1" ht="20.100000000000001" customHeight="1" x14ac:dyDescent="0.25">
      <c r="B102" s="150" t="s">
        <v>66</v>
      </c>
      <c r="C102" s="142" t="s">
        <v>90</v>
      </c>
      <c r="D102" s="142" t="s">
        <v>96</v>
      </c>
      <c r="E102" s="143">
        <f>+_xlfn.XLOOKUP(D102,'2026'!$O$2:$O$40,'2026'!$P$2:$P$40,,0)</f>
        <v>2500997</v>
      </c>
      <c r="F102" s="143">
        <f>+_xlfn.XLOOKUP(D102,'2026'!$O$2:$O$40,'2026'!$R$2:$R$40,,0)</f>
        <v>3750050</v>
      </c>
      <c r="G102" s="143">
        <f>+_xlfn.XLOOKUP(D102,'2026'!$O$2:$O$40,'2026'!$Q$2:$Q$40,,0)</f>
        <v>128799</v>
      </c>
      <c r="H102" s="143">
        <v>0</v>
      </c>
      <c r="I102" s="143">
        <v>0</v>
      </c>
      <c r="J102" s="143">
        <v>0</v>
      </c>
      <c r="K102" s="143">
        <v>0</v>
      </c>
      <c r="L102" s="143">
        <v>0</v>
      </c>
      <c r="M102" s="143">
        <v>0</v>
      </c>
      <c r="N102" s="143">
        <v>0</v>
      </c>
      <c r="O102" s="143">
        <f>+_xlfn.XLOOKUP(D102,'2026'!$O$24:$O$40,'2026'!$S$24:$S$40,,)</f>
        <v>249095</v>
      </c>
      <c r="P102" s="143">
        <f>+_xlfn.XLOOKUP(D102,'2026'!$O$24:$O$40,'2026'!$T$24:$T$40,,)</f>
        <v>105857</v>
      </c>
      <c r="Q102" s="144">
        <f t="shared" si="1"/>
        <v>6734798</v>
      </c>
      <c r="T102" s="140"/>
    </row>
    <row r="103" spans="1:20" s="11" customFormat="1" ht="20.100000000000001" customHeight="1" x14ac:dyDescent="0.25">
      <c r="B103" s="150" t="s">
        <v>67</v>
      </c>
      <c r="C103" s="142" t="s">
        <v>91</v>
      </c>
      <c r="D103" s="142">
        <v>6</v>
      </c>
      <c r="E103" s="143">
        <f>+_xlfn.XLOOKUP(D103,'2026'!$O$2:$O$40,'2026'!$P$2:$P$40,,0)</f>
        <v>3698761</v>
      </c>
      <c r="F103" s="143">
        <f>+_xlfn.XLOOKUP(D103,'2026'!$O$2:$O$40,'2026'!$R$2:$R$40,,0)</f>
        <v>0</v>
      </c>
      <c r="G103" s="143">
        <f>+_xlfn.XLOOKUP(D103,'2026'!$O$2:$O$40,'2026'!$Q$2:$Q$40,,0)</f>
        <v>190485</v>
      </c>
      <c r="H103" s="143">
        <v>0</v>
      </c>
      <c r="I103" s="143">
        <v>0</v>
      </c>
      <c r="J103" s="143">
        <v>0</v>
      </c>
      <c r="K103" s="143">
        <v>0</v>
      </c>
      <c r="L103" s="143">
        <v>0</v>
      </c>
      <c r="M103" s="143">
        <v>0</v>
      </c>
      <c r="N103" s="143">
        <v>0</v>
      </c>
      <c r="O103" s="143">
        <v>0</v>
      </c>
      <c r="P103" s="143">
        <v>0</v>
      </c>
      <c r="Q103" s="144">
        <f t="shared" si="1"/>
        <v>3889246</v>
      </c>
      <c r="T103" s="140"/>
    </row>
    <row r="104" spans="1:20" s="11" customFormat="1" ht="20.100000000000001" customHeight="1" x14ac:dyDescent="0.25">
      <c r="B104" s="150" t="s">
        <v>112</v>
      </c>
      <c r="C104" s="142" t="s">
        <v>91</v>
      </c>
      <c r="D104" s="142" t="s">
        <v>96</v>
      </c>
      <c r="E104" s="143">
        <f>+_xlfn.XLOOKUP(D104,'2026'!$O$2:$O$40,'2026'!$P$2:$P$40,,0)</f>
        <v>2500997</v>
      </c>
      <c r="F104" s="143">
        <f>+_xlfn.XLOOKUP(D104,'2026'!$O$2:$O$40,'2026'!$R$2:$R$40,,0)</f>
        <v>3750050</v>
      </c>
      <c r="G104" s="143">
        <f>+_xlfn.XLOOKUP(D104,'2026'!$O$2:$O$40,'2026'!$Q$2:$Q$40,,0)</f>
        <v>128799</v>
      </c>
      <c r="H104" s="143">
        <v>0</v>
      </c>
      <c r="I104" s="143">
        <v>0</v>
      </c>
      <c r="J104" s="143">
        <v>0</v>
      </c>
      <c r="K104" s="143">
        <v>0</v>
      </c>
      <c r="L104" s="143">
        <v>0</v>
      </c>
      <c r="M104" s="143">
        <v>0</v>
      </c>
      <c r="N104" s="143">
        <v>0</v>
      </c>
      <c r="O104" s="143">
        <f>+_xlfn.XLOOKUP(D104,'2026'!$O$24:$O$40,'2026'!$S$24:$S$40,,)</f>
        <v>249095</v>
      </c>
      <c r="P104" s="143">
        <f>+_xlfn.XLOOKUP(D104,'2026'!$O$24:$O$40,'2026'!$T$24:$T$40,,)</f>
        <v>105857</v>
      </c>
      <c r="Q104" s="144">
        <f t="shared" si="1"/>
        <v>6734798</v>
      </c>
      <c r="T104" s="140"/>
    </row>
    <row r="105" spans="1:20" s="11" customFormat="1" ht="20.100000000000001" customHeight="1" x14ac:dyDescent="0.25">
      <c r="B105" s="150" t="s">
        <v>68</v>
      </c>
      <c r="C105" s="142" t="s">
        <v>92</v>
      </c>
      <c r="D105" s="142">
        <v>6</v>
      </c>
      <c r="E105" s="143">
        <f>+_xlfn.XLOOKUP(D105,'2026'!$O$2:$O$40,'2026'!$P$2:$P$40,,0)</f>
        <v>3698761</v>
      </c>
      <c r="F105" s="143">
        <f>+_xlfn.XLOOKUP(D105,'2026'!$O$2:$O$40,'2026'!$R$2:$R$40,,0)</f>
        <v>0</v>
      </c>
      <c r="G105" s="143">
        <f>+_xlfn.XLOOKUP(D105,'2026'!$O$2:$O$40,'2026'!$Q$2:$Q$40,,0)</f>
        <v>190485</v>
      </c>
      <c r="H105" s="143">
        <v>0</v>
      </c>
      <c r="I105" s="143">
        <v>0</v>
      </c>
      <c r="J105" s="143">
        <v>0</v>
      </c>
      <c r="K105" s="143">
        <v>0</v>
      </c>
      <c r="L105" s="143">
        <v>0</v>
      </c>
      <c r="M105" s="143">
        <v>0</v>
      </c>
      <c r="N105" s="143">
        <v>0</v>
      </c>
      <c r="O105" s="143">
        <v>0</v>
      </c>
      <c r="P105" s="143">
        <v>0</v>
      </c>
      <c r="Q105" s="144">
        <f t="shared" si="1"/>
        <v>3889246</v>
      </c>
      <c r="T105" s="140"/>
    </row>
    <row r="106" spans="1:20" s="11" customFormat="1" ht="20.100000000000001" customHeight="1" x14ac:dyDescent="0.25">
      <c r="B106" s="150" t="s">
        <v>67</v>
      </c>
      <c r="C106" s="142" t="s">
        <v>91</v>
      </c>
      <c r="D106" s="142">
        <v>4</v>
      </c>
      <c r="E106" s="143">
        <f>+_xlfn.XLOOKUP(D106,'2026'!$O$2:$O$40,'2026'!$P$2:$P$40,,0)</f>
        <v>3338889</v>
      </c>
      <c r="F106" s="143">
        <f>+_xlfn.XLOOKUP(D106,'2026'!$O$2:$O$40,'2026'!$R$2:$R$40,,0)</f>
        <v>0</v>
      </c>
      <c r="G106" s="143">
        <f>+_xlfn.XLOOKUP(D106,'2026'!$O$2:$O$40,'2026'!$Q$2:$Q$40,,0)</f>
        <v>171950</v>
      </c>
      <c r="H106" s="143">
        <v>0</v>
      </c>
      <c r="I106" s="143">
        <v>0</v>
      </c>
      <c r="J106" s="143">
        <v>0</v>
      </c>
      <c r="K106" s="143">
        <v>0</v>
      </c>
      <c r="L106" s="143">
        <v>0</v>
      </c>
      <c r="M106" s="143">
        <v>0</v>
      </c>
      <c r="N106" s="143">
        <v>0</v>
      </c>
      <c r="O106" s="143">
        <v>0</v>
      </c>
      <c r="P106" s="143">
        <v>0</v>
      </c>
      <c r="Q106" s="144">
        <f t="shared" si="1"/>
        <v>3510839</v>
      </c>
      <c r="T106" s="140"/>
    </row>
    <row r="107" spans="1:20" s="11" customFormat="1" ht="20.100000000000001" customHeight="1" x14ac:dyDescent="0.25">
      <c r="B107" s="150" t="s">
        <v>68</v>
      </c>
      <c r="C107" s="142" t="s">
        <v>92</v>
      </c>
      <c r="D107" s="142">
        <v>4</v>
      </c>
      <c r="E107" s="143">
        <f>+_xlfn.XLOOKUP(D107,'2026'!$O$2:$O$40,'2026'!$P$2:$P$40,,0)</f>
        <v>3338889</v>
      </c>
      <c r="F107" s="143">
        <f>+_xlfn.XLOOKUP(D107,'2026'!$O$2:$O$40,'2026'!$R$2:$R$40,,0)</f>
        <v>0</v>
      </c>
      <c r="G107" s="143">
        <f>+_xlfn.XLOOKUP(D107,'2026'!$O$2:$O$40,'2026'!$Q$2:$Q$40,,0)</f>
        <v>171950</v>
      </c>
      <c r="H107" s="143">
        <v>0</v>
      </c>
      <c r="I107" s="143">
        <v>0</v>
      </c>
      <c r="J107" s="143">
        <v>0</v>
      </c>
      <c r="K107" s="143">
        <v>0</v>
      </c>
      <c r="L107" s="143">
        <v>0</v>
      </c>
      <c r="M107" s="143">
        <v>0</v>
      </c>
      <c r="N107" s="143">
        <v>0</v>
      </c>
      <c r="O107" s="143">
        <v>0</v>
      </c>
      <c r="P107" s="143">
        <v>0</v>
      </c>
      <c r="Q107" s="144">
        <f t="shared" si="1"/>
        <v>3510839</v>
      </c>
      <c r="T107" s="140"/>
    </row>
    <row r="108" spans="1:20" s="11" customFormat="1" ht="20.100000000000001" customHeight="1" x14ac:dyDescent="0.25">
      <c r="B108" s="150" t="s">
        <v>68</v>
      </c>
      <c r="C108" s="142" t="s">
        <v>92</v>
      </c>
      <c r="D108" s="142" t="s">
        <v>95</v>
      </c>
      <c r="E108" s="143">
        <f>+_xlfn.XLOOKUP(D108,'2026'!$O$2:$O$40,'2026'!$P$2:$P$40,,0)</f>
        <v>2021374</v>
      </c>
      <c r="F108" s="143">
        <f>+_xlfn.XLOOKUP(D108,'2026'!$O$2:$O$40,'2026'!$R$2:$R$40,,0)</f>
        <v>3030893</v>
      </c>
      <c r="G108" s="143">
        <f>+_xlfn.XLOOKUP(D108,'2026'!$O$2:$O$40,'2026'!$Q$2:$Q$40,,0)</f>
        <v>104099</v>
      </c>
      <c r="H108" s="143">
        <v>0</v>
      </c>
      <c r="I108" s="143">
        <v>0</v>
      </c>
      <c r="J108" s="143">
        <v>0</v>
      </c>
      <c r="K108" s="143">
        <v>0</v>
      </c>
      <c r="L108" s="143">
        <v>0</v>
      </c>
      <c r="M108" s="143">
        <v>0</v>
      </c>
      <c r="N108" s="143">
        <v>0</v>
      </c>
      <c r="O108" s="143">
        <f>+_xlfn.XLOOKUP(D108,'2026'!$O$24:$O$40,'2026'!$S$24:$S$40,,)</f>
        <v>249095</v>
      </c>
      <c r="P108" s="143">
        <f>+_xlfn.XLOOKUP(D108,'2026'!$O$24:$O$40,'2026'!$T$24:$T$40,,)</f>
        <v>105857</v>
      </c>
      <c r="Q108" s="144">
        <f t="shared" si="1"/>
        <v>5511318</v>
      </c>
      <c r="T108" s="140"/>
    </row>
    <row r="109" spans="1:20" s="11" customFormat="1" ht="20.100000000000001" customHeight="1" x14ac:dyDescent="0.25">
      <c r="B109" s="150" t="s">
        <v>69</v>
      </c>
      <c r="C109" s="142" t="s">
        <v>93</v>
      </c>
      <c r="D109" s="142">
        <v>4</v>
      </c>
      <c r="E109" s="143">
        <f>+_xlfn.XLOOKUP(D109,'2026'!$O$2:$O$40,'2026'!$P$2:$P$40,,0)</f>
        <v>3338889</v>
      </c>
      <c r="F109" s="143">
        <f>+_xlfn.XLOOKUP(D109,'2026'!$O$2:$O$40,'2026'!$R$2:$R$40,,0)</f>
        <v>0</v>
      </c>
      <c r="G109" s="143">
        <f>+_xlfn.XLOOKUP(D109,'2026'!$O$2:$O$40,'2026'!$Q$2:$Q$40,,0)</f>
        <v>171950</v>
      </c>
      <c r="H109" s="143">
        <v>0</v>
      </c>
      <c r="I109" s="143">
        <v>0</v>
      </c>
      <c r="J109" s="143">
        <v>0</v>
      </c>
      <c r="K109" s="143">
        <v>0</v>
      </c>
      <c r="L109" s="143">
        <v>0</v>
      </c>
      <c r="M109" s="143">
        <v>0</v>
      </c>
      <c r="N109" s="143">
        <v>0</v>
      </c>
      <c r="O109" s="143">
        <v>0</v>
      </c>
      <c r="P109" s="143">
        <v>0</v>
      </c>
      <c r="Q109" s="144">
        <f t="shared" si="1"/>
        <v>3510839</v>
      </c>
      <c r="T109" s="140"/>
    </row>
    <row r="110" spans="1:20" s="11" customFormat="1" ht="20.100000000000001" customHeight="1" x14ac:dyDescent="0.25">
      <c r="B110" s="150" t="s">
        <v>68</v>
      </c>
      <c r="C110" s="142" t="s">
        <v>92</v>
      </c>
      <c r="D110" s="142">
        <v>3</v>
      </c>
      <c r="E110" s="143">
        <f>+_xlfn.XLOOKUP(D110,'2026'!$O$2:$O$40,'2026'!$P$2:$P$40,,0)</f>
        <v>2550033</v>
      </c>
      <c r="F110" s="143">
        <f>+_xlfn.XLOOKUP(D110,'2026'!$O$2:$O$40,'2026'!$R$2:$R$40,,0)</f>
        <v>0</v>
      </c>
      <c r="G110" s="143">
        <f>+_xlfn.XLOOKUP(D110,'2026'!$O$2:$O$40,'2026'!$Q$2:$Q$40,,0)</f>
        <v>131325</v>
      </c>
      <c r="H110" s="143">
        <v>0</v>
      </c>
      <c r="I110" s="143">
        <v>0</v>
      </c>
      <c r="J110" s="143">
        <v>0</v>
      </c>
      <c r="K110" s="143">
        <v>0</v>
      </c>
      <c r="L110" s="143">
        <v>0</v>
      </c>
      <c r="M110" s="143">
        <v>0</v>
      </c>
      <c r="N110" s="143">
        <v>0</v>
      </c>
      <c r="O110" s="143">
        <f>+_xlfn.XLOOKUP(D110,'2026'!$O$2:$O$40,'2026'!$S$2:$S$40,,0)</f>
        <v>249095</v>
      </c>
      <c r="P110" s="143">
        <f>+_xlfn.XLOOKUP(D110,'2026'!$O$2:$O$40,'2026'!$T$2:$T$40,,0)</f>
        <v>105857</v>
      </c>
      <c r="Q110" s="144">
        <f t="shared" si="1"/>
        <v>3036310</v>
      </c>
      <c r="T110" s="140"/>
    </row>
    <row r="111" spans="1:20" s="11" customFormat="1" ht="20.100000000000001" customHeight="1" x14ac:dyDescent="0.25">
      <c r="B111" s="150" t="s">
        <v>68</v>
      </c>
      <c r="C111" s="142" t="s">
        <v>92</v>
      </c>
      <c r="D111" s="142" t="s">
        <v>94</v>
      </c>
      <c r="E111" s="143">
        <f>+_xlfn.XLOOKUP(D111,'2026'!$O$2:$O$40,'2026'!$P$2:$P$40,,0)</f>
        <v>1867380</v>
      </c>
      <c r="F111" s="143">
        <f>+_xlfn.XLOOKUP(D111,'2026'!$O$2:$O$40,'2026'!$R$2:$R$40,,0)</f>
        <v>2799991</v>
      </c>
      <c r="G111" s="143">
        <f>+_xlfn.XLOOKUP(D111,'2026'!$O$2:$O$40,'2026'!$Q$2:$Q$40,,0)</f>
        <v>96168</v>
      </c>
      <c r="H111" s="143">
        <v>0</v>
      </c>
      <c r="I111" s="143">
        <v>0</v>
      </c>
      <c r="J111" s="143">
        <v>0</v>
      </c>
      <c r="K111" s="143">
        <v>0</v>
      </c>
      <c r="L111" s="143">
        <v>0</v>
      </c>
      <c r="M111" s="143">
        <v>0</v>
      </c>
      <c r="N111" s="143">
        <v>0</v>
      </c>
      <c r="O111" s="143">
        <f>+_xlfn.XLOOKUP(D111,'2026'!$O$24:$O$40,'2026'!$S$24:$S$40,,)</f>
        <v>249095</v>
      </c>
      <c r="P111" s="143">
        <f>+_xlfn.XLOOKUP(D111,'2026'!$O$24:$O$40,'2026'!$T$24:$T$40,,)</f>
        <v>105857</v>
      </c>
      <c r="Q111" s="144">
        <f>+SUM(E111:P111)</f>
        <v>5118491</v>
      </c>
      <c r="T111" s="140"/>
    </row>
    <row r="112" spans="1:20" ht="15" customHeight="1" x14ac:dyDescent="0.2">
      <c r="A112" s="12"/>
      <c r="B112" s="156" t="s">
        <v>257</v>
      </c>
      <c r="Q112" s="161" t="s">
        <v>262</v>
      </c>
    </row>
    <row r="113" spans="2:2" ht="15" customHeight="1" x14ac:dyDescent="0.2">
      <c r="B113" s="156" t="s">
        <v>261</v>
      </c>
    </row>
    <row r="114" spans="2:2" ht="15" customHeight="1" x14ac:dyDescent="0.2">
      <c r="B114" s="156"/>
    </row>
    <row r="115" spans="2:2" ht="12.75" customHeight="1" x14ac:dyDescent="0.2"/>
    <row r="116" spans="2:2" ht="12.75" customHeight="1" x14ac:dyDescent="0.2"/>
    <row r="117" spans="2:2" ht="12.75" customHeight="1" x14ac:dyDescent="0.2"/>
    <row r="118" spans="2:2" ht="12.75" hidden="1" customHeight="1" x14ac:dyDescent="0.2"/>
    <row r="119" spans="2:2" ht="12.75" hidden="1" customHeight="1" x14ac:dyDescent="0.2"/>
    <row r="120" spans="2:2" ht="12.75" hidden="1" customHeight="1" x14ac:dyDescent="0.2"/>
    <row r="121" spans="2:2" ht="12.75" hidden="1" customHeight="1" x14ac:dyDescent="0.2"/>
    <row r="122" spans="2:2" ht="12.75" hidden="1" customHeight="1" x14ac:dyDescent="0.2"/>
    <row r="123" spans="2:2" ht="12.75" hidden="1" customHeight="1" x14ac:dyDescent="0.2"/>
    <row r="124" spans="2:2" ht="12.75" hidden="1" customHeight="1" x14ac:dyDescent="0.2"/>
    <row r="125" spans="2:2" ht="12.75" hidden="1" customHeight="1" x14ac:dyDescent="0.2"/>
    <row r="126" spans="2:2" ht="12.75" hidden="1" customHeight="1" x14ac:dyDescent="0.2"/>
    <row r="127" spans="2:2" ht="12.75" hidden="1" customHeight="1" x14ac:dyDescent="0.2"/>
    <row r="128" spans="2:2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</sheetData>
  <sheetProtection algorithmName="SHA-512" hashValue="mUh2dG5kKVmyAIu6N8FRxBlwEzg6Xflepq3JGRTDlnxmjz/ZySvZXWVRbIsqtEAqICoWePdA8M7lIC+pL9aMzg==" saltValue="PdFIRyjECRGbXAM/VOFNJg==" spinCount="100000" sheet="1" objects="1" scenarios="1"/>
  <mergeCells count="38">
    <mergeCell ref="C70:D70"/>
    <mergeCell ref="B9:Q9"/>
    <mergeCell ref="C37:D37"/>
    <mergeCell ref="C38:D38"/>
    <mergeCell ref="C6:D8"/>
    <mergeCell ref="O6:O8"/>
    <mergeCell ref="P6:P8"/>
    <mergeCell ref="C22:D22"/>
    <mergeCell ref="C23:D23"/>
    <mergeCell ref="C33:D33"/>
    <mergeCell ref="C34:D34"/>
    <mergeCell ref="C36:D36"/>
    <mergeCell ref="C16:D16"/>
    <mergeCell ref="C17:D17"/>
    <mergeCell ref="C18:D18"/>
    <mergeCell ref="C19:D19"/>
    <mergeCell ref="C20:D20"/>
    <mergeCell ref="C11:D11"/>
    <mergeCell ref="C12:D12"/>
    <mergeCell ref="C13:D13"/>
    <mergeCell ref="C14:D14"/>
    <mergeCell ref="C15:D15"/>
    <mergeCell ref="B2:Q2"/>
    <mergeCell ref="B3:Q3"/>
    <mergeCell ref="B4:Q4"/>
    <mergeCell ref="B5:Q5"/>
    <mergeCell ref="J6:J8"/>
    <mergeCell ref="M6:M8"/>
    <mergeCell ref="N6:N8"/>
    <mergeCell ref="B6:B8"/>
    <mergeCell ref="E6:E8"/>
    <mergeCell ref="F6:F8"/>
    <mergeCell ref="G6:G8"/>
    <mergeCell ref="H6:H8"/>
    <mergeCell ref="I6:I8"/>
    <mergeCell ref="L6:L8"/>
    <mergeCell ref="K6:K8"/>
    <mergeCell ref="Q6:Q8"/>
  </mergeCells>
  <printOptions horizontalCentered="1" verticalCentered="1" gridLinesSet="0"/>
  <pageMargins left="0.15748031496062992" right="0.15748031496062992" top="0.59055118110236227" bottom="0.59055118110236227" header="0.51181102362204722" footer="0.51181102362204722"/>
  <pageSetup scale="32" orientation="portrait" r:id="rId1"/>
  <headerFooter alignWithMargins="0"/>
  <ignoredErrors>
    <ignoredError sqref="E70 G7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F4A06-4DC7-4B84-8695-1BADE325FF69}">
  <sheetPr>
    <pageSetUpPr fitToPage="1"/>
  </sheetPr>
  <dimension ref="B1:WLK37"/>
  <sheetViews>
    <sheetView showGridLines="0" zoomScale="85" zoomScaleNormal="85" workbookViewId="0">
      <selection activeCell="I12" sqref="I12"/>
    </sheetView>
  </sheetViews>
  <sheetFormatPr baseColWidth="10" defaultColWidth="0" defaultRowHeight="0" customHeight="1" zeroHeight="1" x14ac:dyDescent="0.25"/>
  <cols>
    <col min="1" max="1" width="6.28515625" customWidth="1"/>
    <col min="2" max="2" width="31.85546875" customWidth="1"/>
    <col min="3" max="4" width="4.85546875" customWidth="1"/>
    <col min="5" max="14" width="18.7109375" customWidth="1"/>
    <col min="15" max="15" width="12.140625" customWidth="1"/>
    <col min="16" max="16" width="14.7109375" customWidth="1"/>
    <col min="17" max="17" width="18.7109375" customWidth="1"/>
    <col min="18" max="18" width="11.42578125" customWidth="1"/>
    <col min="19" max="245" width="11.42578125" hidden="1" customWidth="1"/>
    <col min="246" max="246" width="10.5703125" hidden="1" customWidth="1"/>
    <col min="247" max="247" width="6.28515625" hidden="1" customWidth="1"/>
    <col min="248" max="248" width="37.140625" hidden="1" customWidth="1"/>
    <col min="249" max="249" width="8.140625" hidden="1" customWidth="1"/>
    <col min="250" max="250" width="11.42578125" hidden="1" customWidth="1"/>
    <col min="251" max="251" width="11.7109375" hidden="1" customWidth="1"/>
    <col min="252" max="252" width="14.85546875" hidden="1" customWidth="1"/>
    <col min="253" max="253" width="13.28515625" hidden="1" customWidth="1"/>
    <col min="254" max="254" width="5.85546875" hidden="1" customWidth="1"/>
    <col min="255" max="255" width="11.42578125" hidden="1" customWidth="1"/>
    <col min="503" max="503" width="6.28515625" hidden="1" customWidth="1"/>
    <col min="504" max="504" width="37.140625" hidden="1" customWidth="1"/>
    <col min="505" max="505" width="8.140625" hidden="1" customWidth="1"/>
    <col min="506" max="506" width="11.42578125" hidden="1" customWidth="1"/>
    <col min="507" max="507" width="11.7109375" hidden="1" customWidth="1"/>
    <col min="508" max="508" width="14.85546875" hidden="1" customWidth="1"/>
    <col min="509" max="509" width="13.28515625" hidden="1" customWidth="1"/>
    <col min="510" max="510" width="5.85546875" hidden="1" customWidth="1"/>
    <col min="511" max="511" width="11.42578125" hidden="1" customWidth="1"/>
    <col min="759" max="759" width="6.28515625" hidden="1" customWidth="1"/>
    <col min="760" max="760" width="37.140625" hidden="1" customWidth="1"/>
    <col min="761" max="761" width="8.140625" hidden="1" customWidth="1"/>
    <col min="762" max="762" width="11.42578125" hidden="1" customWidth="1"/>
    <col min="763" max="763" width="11.7109375" hidden="1" customWidth="1"/>
    <col min="764" max="764" width="14.85546875" hidden="1" customWidth="1"/>
    <col min="765" max="765" width="13.28515625" hidden="1" customWidth="1"/>
    <col min="766" max="766" width="5.85546875" hidden="1" customWidth="1"/>
    <col min="767" max="767" width="11.42578125" hidden="1" customWidth="1"/>
    <col min="1015" max="1015" width="6.28515625" hidden="1" customWidth="1"/>
    <col min="1016" max="1016" width="37.140625" hidden="1" customWidth="1"/>
    <col min="1017" max="1017" width="8.140625" hidden="1" customWidth="1"/>
    <col min="1018" max="1018" width="11.42578125" hidden="1" customWidth="1"/>
    <col min="1019" max="1019" width="11.7109375" hidden="1" customWidth="1"/>
    <col min="1020" max="1020" width="14.85546875" hidden="1" customWidth="1"/>
    <col min="1021" max="1021" width="13.28515625" hidden="1" customWidth="1"/>
    <col min="1022" max="1022" width="5.85546875" hidden="1" customWidth="1"/>
    <col min="1023" max="1023" width="11.42578125" hidden="1" customWidth="1"/>
    <col min="1271" max="1271" width="6.28515625" hidden="1" customWidth="1"/>
    <col min="1272" max="1272" width="37.140625" hidden="1" customWidth="1"/>
    <col min="1273" max="1273" width="8.140625" hidden="1" customWidth="1"/>
    <col min="1274" max="1274" width="11.42578125" hidden="1" customWidth="1"/>
    <col min="1275" max="1275" width="11.7109375" hidden="1" customWidth="1"/>
    <col min="1276" max="1276" width="14.85546875" hidden="1" customWidth="1"/>
    <col min="1277" max="1277" width="13.28515625" hidden="1" customWidth="1"/>
    <col min="1278" max="1278" width="5.85546875" hidden="1" customWidth="1"/>
    <col min="1279" max="1279" width="11.42578125" hidden="1" customWidth="1"/>
    <col min="1527" max="1527" width="6.28515625" hidden="1" customWidth="1"/>
    <col min="1528" max="1528" width="37.140625" hidden="1" customWidth="1"/>
    <col min="1529" max="1529" width="8.140625" hidden="1" customWidth="1"/>
    <col min="1530" max="1530" width="11.42578125" hidden="1" customWidth="1"/>
    <col min="1531" max="1531" width="11.7109375" hidden="1" customWidth="1"/>
    <col min="1532" max="1532" width="14.85546875" hidden="1" customWidth="1"/>
    <col min="1533" max="1533" width="13.28515625" hidden="1" customWidth="1"/>
    <col min="1534" max="1534" width="5.85546875" hidden="1" customWidth="1"/>
    <col min="1535" max="1535" width="11.42578125" hidden="1" customWidth="1"/>
    <col min="1783" max="1783" width="6.28515625" hidden="1" customWidth="1"/>
    <col min="1784" max="1784" width="37.140625" hidden="1" customWidth="1"/>
    <col min="1785" max="1785" width="8.140625" hidden="1" customWidth="1"/>
    <col min="1786" max="1786" width="11.42578125" hidden="1" customWidth="1"/>
    <col min="1787" max="1787" width="11.7109375" hidden="1" customWidth="1"/>
    <col min="1788" max="1788" width="14.85546875" hidden="1" customWidth="1"/>
    <col min="1789" max="1789" width="13.28515625" hidden="1" customWidth="1"/>
    <col min="1790" max="1790" width="5.85546875" hidden="1" customWidth="1"/>
    <col min="1791" max="1791" width="11.42578125" hidden="1" customWidth="1"/>
    <col min="2039" max="2039" width="6.28515625" hidden="1" customWidth="1"/>
    <col min="2040" max="2040" width="37.140625" hidden="1" customWidth="1"/>
    <col min="2041" max="2041" width="8.140625" hidden="1" customWidth="1"/>
    <col min="2042" max="2042" width="11.42578125" hidden="1" customWidth="1"/>
    <col min="2043" max="2043" width="11.7109375" hidden="1" customWidth="1"/>
    <col min="2044" max="2044" width="14.85546875" hidden="1" customWidth="1"/>
    <col min="2045" max="2045" width="13.28515625" hidden="1" customWidth="1"/>
    <col min="2046" max="2046" width="5.85546875" hidden="1" customWidth="1"/>
    <col min="2047" max="2047" width="11.42578125" hidden="1" customWidth="1"/>
    <col min="2295" max="2295" width="6.28515625" hidden="1" customWidth="1"/>
    <col min="2296" max="2296" width="37.140625" hidden="1" customWidth="1"/>
    <col min="2297" max="2297" width="8.140625" hidden="1" customWidth="1"/>
    <col min="2298" max="2298" width="11.42578125" hidden="1" customWidth="1"/>
    <col min="2299" max="2299" width="11.7109375" hidden="1" customWidth="1"/>
    <col min="2300" max="2300" width="14.85546875" hidden="1" customWidth="1"/>
    <col min="2301" max="2301" width="13.28515625" hidden="1" customWidth="1"/>
    <col min="2302" max="2302" width="5.85546875" hidden="1" customWidth="1"/>
    <col min="2303" max="2303" width="11.42578125" hidden="1" customWidth="1"/>
    <col min="2551" max="2551" width="6.28515625" hidden="1" customWidth="1"/>
    <col min="2552" max="2552" width="37.140625" hidden="1" customWidth="1"/>
    <col min="2553" max="2553" width="8.140625" hidden="1" customWidth="1"/>
    <col min="2554" max="2554" width="11.42578125" hidden="1" customWidth="1"/>
    <col min="2555" max="2555" width="11.7109375" hidden="1" customWidth="1"/>
    <col min="2556" max="2556" width="14.85546875" hidden="1" customWidth="1"/>
    <col min="2557" max="2557" width="13.28515625" hidden="1" customWidth="1"/>
    <col min="2558" max="2558" width="5.85546875" hidden="1" customWidth="1"/>
    <col min="2559" max="2559" width="11.42578125" hidden="1" customWidth="1"/>
    <col min="2807" max="2807" width="6.28515625" hidden="1" customWidth="1"/>
    <col min="2808" max="2808" width="37.140625" hidden="1" customWidth="1"/>
    <col min="2809" max="2809" width="8.140625" hidden="1" customWidth="1"/>
    <col min="2810" max="2810" width="11.42578125" hidden="1" customWidth="1"/>
    <col min="2811" max="2811" width="11.7109375" hidden="1" customWidth="1"/>
    <col min="2812" max="2812" width="14.85546875" hidden="1" customWidth="1"/>
    <col min="2813" max="2813" width="13.28515625" hidden="1" customWidth="1"/>
    <col min="2814" max="2814" width="5.85546875" hidden="1" customWidth="1"/>
    <col min="2815" max="2815" width="11.42578125" hidden="1" customWidth="1"/>
    <col min="3063" max="3063" width="6.28515625" hidden="1" customWidth="1"/>
    <col min="3064" max="3064" width="37.140625" hidden="1" customWidth="1"/>
    <col min="3065" max="3065" width="8.140625" hidden="1" customWidth="1"/>
    <col min="3066" max="3066" width="11.42578125" hidden="1" customWidth="1"/>
    <col min="3067" max="3067" width="11.7109375" hidden="1" customWidth="1"/>
    <col min="3068" max="3068" width="14.85546875" hidden="1" customWidth="1"/>
    <col min="3069" max="3069" width="13.28515625" hidden="1" customWidth="1"/>
    <col min="3070" max="3070" width="5.85546875" hidden="1" customWidth="1"/>
    <col min="3071" max="3071" width="11.42578125" hidden="1" customWidth="1"/>
    <col min="3319" max="3319" width="6.28515625" hidden="1" customWidth="1"/>
    <col min="3320" max="3320" width="37.140625" hidden="1" customWidth="1"/>
    <col min="3321" max="3321" width="8.140625" hidden="1" customWidth="1"/>
    <col min="3322" max="3322" width="11.42578125" hidden="1" customWidth="1"/>
    <col min="3323" max="3323" width="11.7109375" hidden="1" customWidth="1"/>
    <col min="3324" max="3324" width="14.85546875" hidden="1" customWidth="1"/>
    <col min="3325" max="3325" width="13.28515625" hidden="1" customWidth="1"/>
    <col min="3326" max="3326" width="5.85546875" hidden="1" customWidth="1"/>
    <col min="3327" max="3327" width="11.42578125" hidden="1" customWidth="1"/>
    <col min="3575" max="3575" width="6.28515625" hidden="1" customWidth="1"/>
    <col min="3576" max="3576" width="37.140625" hidden="1" customWidth="1"/>
    <col min="3577" max="3577" width="8.140625" hidden="1" customWidth="1"/>
    <col min="3578" max="3578" width="11.42578125" hidden="1" customWidth="1"/>
    <col min="3579" max="3579" width="11.7109375" hidden="1" customWidth="1"/>
    <col min="3580" max="3580" width="14.85546875" hidden="1" customWidth="1"/>
    <col min="3581" max="3581" width="13.28515625" hidden="1" customWidth="1"/>
    <col min="3582" max="3582" width="5.85546875" hidden="1" customWidth="1"/>
    <col min="3583" max="3583" width="11.42578125" hidden="1" customWidth="1"/>
    <col min="3831" max="3831" width="6.28515625" hidden="1" customWidth="1"/>
    <col min="3832" max="3832" width="37.140625" hidden="1" customWidth="1"/>
    <col min="3833" max="3833" width="8.140625" hidden="1" customWidth="1"/>
    <col min="3834" max="3834" width="11.42578125" hidden="1" customWidth="1"/>
    <col min="3835" max="3835" width="11.7109375" hidden="1" customWidth="1"/>
    <col min="3836" max="3836" width="14.85546875" hidden="1" customWidth="1"/>
    <col min="3837" max="3837" width="13.28515625" hidden="1" customWidth="1"/>
    <col min="3838" max="3838" width="5.85546875" hidden="1" customWidth="1"/>
    <col min="3839" max="3839" width="11.42578125" hidden="1" customWidth="1"/>
    <col min="4087" max="4087" width="6.28515625" hidden="1" customWidth="1"/>
    <col min="4088" max="4088" width="37.140625" hidden="1" customWidth="1"/>
    <col min="4089" max="4089" width="8.140625" hidden="1" customWidth="1"/>
    <col min="4090" max="4090" width="11.42578125" hidden="1" customWidth="1"/>
    <col min="4091" max="4091" width="11.7109375" hidden="1" customWidth="1"/>
    <col min="4092" max="4092" width="14.85546875" hidden="1" customWidth="1"/>
    <col min="4093" max="4093" width="13.28515625" hidden="1" customWidth="1"/>
    <col min="4094" max="4094" width="5.85546875" hidden="1" customWidth="1"/>
    <col min="4095" max="4095" width="11.42578125" hidden="1" customWidth="1"/>
    <col min="4343" max="4343" width="6.28515625" hidden="1" customWidth="1"/>
    <col min="4344" max="4344" width="37.140625" hidden="1" customWidth="1"/>
    <col min="4345" max="4345" width="8.140625" hidden="1" customWidth="1"/>
    <col min="4346" max="4346" width="11.42578125" hidden="1" customWidth="1"/>
    <col min="4347" max="4347" width="11.7109375" hidden="1" customWidth="1"/>
    <col min="4348" max="4348" width="14.85546875" hidden="1" customWidth="1"/>
    <col min="4349" max="4349" width="13.28515625" hidden="1" customWidth="1"/>
    <col min="4350" max="4350" width="5.85546875" hidden="1" customWidth="1"/>
    <col min="4351" max="4351" width="11.42578125" hidden="1" customWidth="1"/>
    <col min="4599" max="4599" width="6.28515625" hidden="1" customWidth="1"/>
    <col min="4600" max="4600" width="37.140625" hidden="1" customWidth="1"/>
    <col min="4601" max="4601" width="8.140625" hidden="1" customWidth="1"/>
    <col min="4602" max="4602" width="11.42578125" hidden="1" customWidth="1"/>
    <col min="4603" max="4603" width="11.7109375" hidden="1" customWidth="1"/>
    <col min="4604" max="4604" width="14.85546875" hidden="1" customWidth="1"/>
    <col min="4605" max="4605" width="13.28515625" hidden="1" customWidth="1"/>
    <col min="4606" max="4606" width="5.85546875" hidden="1" customWidth="1"/>
    <col min="4607" max="4607" width="11.42578125" hidden="1" customWidth="1"/>
    <col min="4855" max="4855" width="6.28515625" hidden="1" customWidth="1"/>
    <col min="4856" max="4856" width="37.140625" hidden="1" customWidth="1"/>
    <col min="4857" max="4857" width="8.140625" hidden="1" customWidth="1"/>
    <col min="4858" max="4858" width="11.42578125" hidden="1" customWidth="1"/>
    <col min="4859" max="4859" width="11.7109375" hidden="1" customWidth="1"/>
    <col min="4860" max="4860" width="14.85546875" hidden="1" customWidth="1"/>
    <col min="4861" max="4861" width="13.28515625" hidden="1" customWidth="1"/>
    <col min="4862" max="4862" width="5.85546875" hidden="1" customWidth="1"/>
    <col min="4863" max="4863" width="11.42578125" hidden="1" customWidth="1"/>
    <col min="5111" max="5111" width="6.28515625" hidden="1" customWidth="1"/>
    <col min="5112" max="5112" width="37.140625" hidden="1" customWidth="1"/>
    <col min="5113" max="5113" width="8.140625" hidden="1" customWidth="1"/>
    <col min="5114" max="5114" width="11.42578125" hidden="1" customWidth="1"/>
    <col min="5115" max="5115" width="11.7109375" hidden="1" customWidth="1"/>
    <col min="5116" max="5116" width="14.85546875" hidden="1" customWidth="1"/>
    <col min="5117" max="5117" width="13.28515625" hidden="1" customWidth="1"/>
    <col min="5118" max="5118" width="5.85546875" hidden="1" customWidth="1"/>
    <col min="5119" max="5119" width="11.42578125" hidden="1" customWidth="1"/>
    <col min="5367" max="5367" width="6.28515625" hidden="1" customWidth="1"/>
    <col min="5368" max="5368" width="37.140625" hidden="1" customWidth="1"/>
    <col min="5369" max="5369" width="8.140625" hidden="1" customWidth="1"/>
    <col min="5370" max="5370" width="11.42578125" hidden="1" customWidth="1"/>
    <col min="5371" max="5371" width="11.7109375" hidden="1" customWidth="1"/>
    <col min="5372" max="5372" width="14.85546875" hidden="1" customWidth="1"/>
    <col min="5373" max="5373" width="13.28515625" hidden="1" customWidth="1"/>
    <col min="5374" max="5374" width="5.85546875" hidden="1" customWidth="1"/>
    <col min="5375" max="5375" width="11.42578125" hidden="1" customWidth="1"/>
    <col min="5623" max="5623" width="6.28515625" hidden="1" customWidth="1"/>
    <col min="5624" max="5624" width="37.140625" hidden="1" customWidth="1"/>
    <col min="5625" max="5625" width="8.140625" hidden="1" customWidth="1"/>
    <col min="5626" max="5626" width="11.42578125" hidden="1" customWidth="1"/>
    <col min="5627" max="5627" width="11.7109375" hidden="1" customWidth="1"/>
    <col min="5628" max="5628" width="14.85546875" hidden="1" customWidth="1"/>
    <col min="5629" max="5629" width="13.28515625" hidden="1" customWidth="1"/>
    <col min="5630" max="5630" width="5.85546875" hidden="1" customWidth="1"/>
    <col min="5631" max="5631" width="11.42578125" hidden="1" customWidth="1"/>
    <col min="5879" max="5879" width="6.28515625" hidden="1" customWidth="1"/>
    <col min="5880" max="5880" width="37.140625" hidden="1" customWidth="1"/>
    <col min="5881" max="5881" width="8.140625" hidden="1" customWidth="1"/>
    <col min="5882" max="5882" width="11.42578125" hidden="1" customWidth="1"/>
    <col min="5883" max="5883" width="11.7109375" hidden="1" customWidth="1"/>
    <col min="5884" max="5884" width="14.85546875" hidden="1" customWidth="1"/>
    <col min="5885" max="5885" width="13.28515625" hidden="1" customWidth="1"/>
    <col min="5886" max="5886" width="5.85546875" hidden="1" customWidth="1"/>
    <col min="5887" max="5887" width="11.42578125" hidden="1" customWidth="1"/>
    <col min="6135" max="6135" width="6.28515625" hidden="1" customWidth="1"/>
    <col min="6136" max="6136" width="37.140625" hidden="1" customWidth="1"/>
    <col min="6137" max="6137" width="8.140625" hidden="1" customWidth="1"/>
    <col min="6138" max="6138" width="11.42578125" hidden="1" customWidth="1"/>
    <col min="6139" max="6139" width="11.7109375" hidden="1" customWidth="1"/>
    <col min="6140" max="6140" width="14.85546875" hidden="1" customWidth="1"/>
    <col min="6141" max="6141" width="13.28515625" hidden="1" customWidth="1"/>
    <col min="6142" max="6142" width="5.85546875" hidden="1" customWidth="1"/>
    <col min="6143" max="6143" width="11.42578125" hidden="1" customWidth="1"/>
    <col min="6391" max="6391" width="6.28515625" hidden="1" customWidth="1"/>
    <col min="6392" max="6392" width="37.140625" hidden="1" customWidth="1"/>
    <col min="6393" max="6393" width="8.140625" hidden="1" customWidth="1"/>
    <col min="6394" max="6394" width="11.42578125" hidden="1" customWidth="1"/>
    <col min="6395" max="6395" width="11.7109375" hidden="1" customWidth="1"/>
    <col min="6396" max="6396" width="14.85546875" hidden="1" customWidth="1"/>
    <col min="6397" max="6397" width="13.28515625" hidden="1" customWidth="1"/>
    <col min="6398" max="6398" width="5.85546875" hidden="1" customWidth="1"/>
    <col min="6399" max="6399" width="11.42578125" hidden="1" customWidth="1"/>
    <col min="6647" max="6647" width="6.28515625" hidden="1" customWidth="1"/>
    <col min="6648" max="6648" width="37.140625" hidden="1" customWidth="1"/>
    <col min="6649" max="6649" width="8.140625" hidden="1" customWidth="1"/>
    <col min="6650" max="6650" width="11.42578125" hidden="1" customWidth="1"/>
    <col min="6651" max="6651" width="11.7109375" hidden="1" customWidth="1"/>
    <col min="6652" max="6652" width="14.85546875" hidden="1" customWidth="1"/>
    <col min="6653" max="6653" width="13.28515625" hidden="1" customWidth="1"/>
    <col min="6654" max="6654" width="5.85546875" hidden="1" customWidth="1"/>
    <col min="6655" max="6655" width="11.42578125" hidden="1" customWidth="1"/>
    <col min="6903" max="6903" width="6.28515625" hidden="1" customWidth="1"/>
    <col min="6904" max="6904" width="37.140625" hidden="1" customWidth="1"/>
    <col min="6905" max="6905" width="8.140625" hidden="1" customWidth="1"/>
    <col min="6906" max="6906" width="11.42578125" hidden="1" customWidth="1"/>
    <col min="6907" max="6907" width="11.7109375" hidden="1" customWidth="1"/>
    <col min="6908" max="6908" width="14.85546875" hidden="1" customWidth="1"/>
    <col min="6909" max="6909" width="13.28515625" hidden="1" customWidth="1"/>
    <col min="6910" max="6910" width="5.85546875" hidden="1" customWidth="1"/>
    <col min="6911" max="6911" width="11.42578125" hidden="1" customWidth="1"/>
    <col min="7159" max="7159" width="6.28515625" hidden="1" customWidth="1"/>
    <col min="7160" max="7160" width="37.140625" hidden="1" customWidth="1"/>
    <col min="7161" max="7161" width="8.140625" hidden="1" customWidth="1"/>
    <col min="7162" max="7162" width="11.42578125" hidden="1" customWidth="1"/>
    <col min="7163" max="7163" width="11.7109375" hidden="1" customWidth="1"/>
    <col min="7164" max="7164" width="14.85546875" hidden="1" customWidth="1"/>
    <col min="7165" max="7165" width="13.28515625" hidden="1" customWidth="1"/>
    <col min="7166" max="7166" width="5.85546875" hidden="1" customWidth="1"/>
    <col min="7167" max="7167" width="11.42578125" hidden="1" customWidth="1"/>
    <col min="7415" max="7415" width="6.28515625" hidden="1" customWidth="1"/>
    <col min="7416" max="7416" width="37.140625" hidden="1" customWidth="1"/>
    <col min="7417" max="7417" width="8.140625" hidden="1" customWidth="1"/>
    <col min="7418" max="7418" width="11.42578125" hidden="1" customWidth="1"/>
    <col min="7419" max="7419" width="11.7109375" hidden="1" customWidth="1"/>
    <col min="7420" max="7420" width="14.85546875" hidden="1" customWidth="1"/>
    <col min="7421" max="7421" width="13.28515625" hidden="1" customWidth="1"/>
    <col min="7422" max="7422" width="5.85546875" hidden="1" customWidth="1"/>
    <col min="7423" max="7423" width="11.42578125" hidden="1" customWidth="1"/>
    <col min="7671" max="7671" width="6.28515625" hidden="1" customWidth="1"/>
    <col min="7672" max="7672" width="37.140625" hidden="1" customWidth="1"/>
    <col min="7673" max="7673" width="8.140625" hidden="1" customWidth="1"/>
    <col min="7674" max="7674" width="11.42578125" hidden="1" customWidth="1"/>
    <col min="7675" max="7675" width="11.7109375" hidden="1" customWidth="1"/>
    <col min="7676" max="7676" width="14.85546875" hidden="1" customWidth="1"/>
    <col min="7677" max="7677" width="13.28515625" hidden="1" customWidth="1"/>
    <col min="7678" max="7678" width="5.85546875" hidden="1" customWidth="1"/>
    <col min="7679" max="7679" width="11.42578125" hidden="1" customWidth="1"/>
    <col min="7927" max="7927" width="6.28515625" hidden="1" customWidth="1"/>
    <col min="7928" max="7928" width="37.140625" hidden="1" customWidth="1"/>
    <col min="7929" max="7929" width="8.140625" hidden="1" customWidth="1"/>
    <col min="7930" max="7930" width="11.42578125" hidden="1" customWidth="1"/>
    <col min="7931" max="7931" width="11.7109375" hidden="1" customWidth="1"/>
    <col min="7932" max="7932" width="14.85546875" hidden="1" customWidth="1"/>
    <col min="7933" max="7933" width="13.28515625" hidden="1" customWidth="1"/>
    <col min="7934" max="7934" width="5.85546875" hidden="1" customWidth="1"/>
    <col min="7935" max="7935" width="11.42578125" hidden="1" customWidth="1"/>
    <col min="8183" max="8183" width="6.28515625" hidden="1" customWidth="1"/>
    <col min="8184" max="8184" width="37.140625" hidden="1" customWidth="1"/>
    <col min="8185" max="8185" width="8.140625" hidden="1" customWidth="1"/>
    <col min="8186" max="8186" width="11.42578125" hidden="1" customWidth="1"/>
    <col min="8187" max="8187" width="11.7109375" hidden="1" customWidth="1"/>
    <col min="8188" max="8188" width="14.85546875" hidden="1" customWidth="1"/>
    <col min="8189" max="8189" width="13.28515625" hidden="1" customWidth="1"/>
    <col min="8190" max="8190" width="5.85546875" hidden="1" customWidth="1"/>
    <col min="8191" max="8191" width="11.42578125" hidden="1" customWidth="1"/>
    <col min="8439" max="8439" width="6.28515625" hidden="1" customWidth="1"/>
    <col min="8440" max="8440" width="37.140625" hidden="1" customWidth="1"/>
    <col min="8441" max="8441" width="8.140625" hidden="1" customWidth="1"/>
    <col min="8442" max="8442" width="11.42578125" hidden="1" customWidth="1"/>
    <col min="8443" max="8443" width="11.7109375" hidden="1" customWidth="1"/>
    <col min="8444" max="8444" width="14.85546875" hidden="1" customWidth="1"/>
    <col min="8445" max="8445" width="13.28515625" hidden="1" customWidth="1"/>
    <col min="8446" max="8446" width="5.85546875" hidden="1" customWidth="1"/>
    <col min="8447" max="8447" width="11.42578125" hidden="1" customWidth="1"/>
    <col min="8695" max="8695" width="6.28515625" hidden="1" customWidth="1"/>
    <col min="8696" max="8696" width="37.140625" hidden="1" customWidth="1"/>
    <col min="8697" max="8697" width="8.140625" hidden="1" customWidth="1"/>
    <col min="8698" max="8698" width="11.42578125" hidden="1" customWidth="1"/>
    <col min="8699" max="8699" width="11.7109375" hidden="1" customWidth="1"/>
    <col min="8700" max="8700" width="14.85546875" hidden="1" customWidth="1"/>
    <col min="8701" max="8701" width="13.28515625" hidden="1" customWidth="1"/>
    <col min="8702" max="8702" width="5.85546875" hidden="1" customWidth="1"/>
    <col min="8703" max="8703" width="11.42578125" hidden="1" customWidth="1"/>
    <col min="8951" max="8951" width="6.28515625" hidden="1" customWidth="1"/>
    <col min="8952" max="8952" width="37.140625" hidden="1" customWidth="1"/>
    <col min="8953" max="8953" width="8.140625" hidden="1" customWidth="1"/>
    <col min="8954" max="8954" width="11.42578125" hidden="1" customWidth="1"/>
    <col min="8955" max="8955" width="11.7109375" hidden="1" customWidth="1"/>
    <col min="8956" max="8956" width="14.85546875" hidden="1" customWidth="1"/>
    <col min="8957" max="8957" width="13.28515625" hidden="1" customWidth="1"/>
    <col min="8958" max="8958" width="5.85546875" hidden="1" customWidth="1"/>
    <col min="8959" max="8959" width="11.42578125" hidden="1" customWidth="1"/>
    <col min="9207" max="9207" width="6.28515625" hidden="1" customWidth="1"/>
    <col min="9208" max="9208" width="37.140625" hidden="1" customWidth="1"/>
    <col min="9209" max="9209" width="8.140625" hidden="1" customWidth="1"/>
    <col min="9210" max="9210" width="11.42578125" hidden="1" customWidth="1"/>
    <col min="9211" max="9211" width="11.7109375" hidden="1" customWidth="1"/>
    <col min="9212" max="9212" width="14.85546875" hidden="1" customWidth="1"/>
    <col min="9213" max="9213" width="13.28515625" hidden="1" customWidth="1"/>
    <col min="9214" max="9214" width="5.85546875" hidden="1" customWidth="1"/>
    <col min="9215" max="9215" width="11.42578125" hidden="1" customWidth="1"/>
    <col min="9463" max="9463" width="6.28515625" hidden="1" customWidth="1"/>
    <col min="9464" max="9464" width="37.140625" hidden="1" customWidth="1"/>
    <col min="9465" max="9465" width="8.140625" hidden="1" customWidth="1"/>
    <col min="9466" max="9466" width="11.42578125" hidden="1" customWidth="1"/>
    <col min="9467" max="9467" width="11.7109375" hidden="1" customWidth="1"/>
    <col min="9468" max="9468" width="14.85546875" hidden="1" customWidth="1"/>
    <col min="9469" max="9469" width="13.28515625" hidden="1" customWidth="1"/>
    <col min="9470" max="9470" width="5.85546875" hidden="1" customWidth="1"/>
    <col min="9471" max="9471" width="11.42578125" hidden="1" customWidth="1"/>
    <col min="9719" max="9719" width="6.28515625" hidden="1" customWidth="1"/>
    <col min="9720" max="9720" width="37.140625" hidden="1" customWidth="1"/>
    <col min="9721" max="9721" width="8.140625" hidden="1" customWidth="1"/>
    <col min="9722" max="9722" width="11.42578125" hidden="1" customWidth="1"/>
    <col min="9723" max="9723" width="11.7109375" hidden="1" customWidth="1"/>
    <col min="9724" max="9724" width="14.85546875" hidden="1" customWidth="1"/>
    <col min="9725" max="9725" width="13.28515625" hidden="1" customWidth="1"/>
    <col min="9726" max="9726" width="5.85546875" hidden="1" customWidth="1"/>
    <col min="9727" max="9727" width="11.42578125" hidden="1" customWidth="1"/>
    <col min="9975" max="9975" width="6.28515625" hidden="1" customWidth="1"/>
    <col min="9976" max="9976" width="37.140625" hidden="1" customWidth="1"/>
    <col min="9977" max="9977" width="8.140625" hidden="1" customWidth="1"/>
    <col min="9978" max="9978" width="11.42578125" hidden="1" customWidth="1"/>
    <col min="9979" max="9979" width="11.7109375" hidden="1" customWidth="1"/>
    <col min="9980" max="9980" width="14.85546875" hidden="1" customWidth="1"/>
    <col min="9981" max="9981" width="13.28515625" hidden="1" customWidth="1"/>
    <col min="9982" max="9982" width="5.85546875" hidden="1" customWidth="1"/>
    <col min="9983" max="9983" width="11.42578125" hidden="1" customWidth="1"/>
    <col min="10231" max="10231" width="6.28515625" hidden="1" customWidth="1"/>
    <col min="10232" max="10232" width="37.140625" hidden="1" customWidth="1"/>
    <col min="10233" max="10233" width="8.140625" hidden="1" customWidth="1"/>
    <col min="10234" max="10234" width="11.42578125" hidden="1" customWidth="1"/>
    <col min="10235" max="10235" width="11.7109375" hidden="1" customWidth="1"/>
    <col min="10236" max="10236" width="14.85546875" hidden="1" customWidth="1"/>
    <col min="10237" max="10237" width="13.28515625" hidden="1" customWidth="1"/>
    <col min="10238" max="10238" width="5.85546875" hidden="1" customWidth="1"/>
    <col min="10239" max="10239" width="11.42578125" hidden="1" customWidth="1"/>
    <col min="10487" max="10487" width="6.28515625" hidden="1" customWidth="1"/>
    <col min="10488" max="10488" width="37.140625" hidden="1" customWidth="1"/>
    <col min="10489" max="10489" width="8.140625" hidden="1" customWidth="1"/>
    <col min="10490" max="10490" width="11.42578125" hidden="1" customWidth="1"/>
    <col min="10491" max="10491" width="11.7109375" hidden="1" customWidth="1"/>
    <col min="10492" max="10492" width="14.85546875" hidden="1" customWidth="1"/>
    <col min="10493" max="10493" width="13.28515625" hidden="1" customWidth="1"/>
    <col min="10494" max="10494" width="5.85546875" hidden="1" customWidth="1"/>
    <col min="10495" max="10495" width="11.42578125" hidden="1" customWidth="1"/>
    <col min="10743" max="10743" width="6.28515625" hidden="1" customWidth="1"/>
    <col min="10744" max="10744" width="37.140625" hidden="1" customWidth="1"/>
    <col min="10745" max="10745" width="8.140625" hidden="1" customWidth="1"/>
    <col min="10746" max="10746" width="11.42578125" hidden="1" customWidth="1"/>
    <col min="10747" max="10747" width="11.7109375" hidden="1" customWidth="1"/>
    <col min="10748" max="10748" width="14.85546875" hidden="1" customWidth="1"/>
    <col min="10749" max="10749" width="13.28515625" hidden="1" customWidth="1"/>
    <col min="10750" max="10750" width="5.85546875" hidden="1" customWidth="1"/>
    <col min="10751" max="10751" width="11.42578125" hidden="1" customWidth="1"/>
    <col min="10999" max="10999" width="6.28515625" hidden="1" customWidth="1"/>
    <col min="11000" max="11000" width="37.140625" hidden="1" customWidth="1"/>
    <col min="11001" max="11001" width="8.140625" hidden="1" customWidth="1"/>
    <col min="11002" max="11002" width="11.42578125" hidden="1" customWidth="1"/>
    <col min="11003" max="11003" width="11.7109375" hidden="1" customWidth="1"/>
    <col min="11004" max="11004" width="14.85546875" hidden="1" customWidth="1"/>
    <col min="11005" max="11005" width="13.28515625" hidden="1" customWidth="1"/>
    <col min="11006" max="11006" width="5.85546875" hidden="1" customWidth="1"/>
    <col min="11007" max="11007" width="11.42578125" hidden="1" customWidth="1"/>
    <col min="11255" max="11255" width="6.28515625" hidden="1" customWidth="1"/>
    <col min="11256" max="11256" width="37.140625" hidden="1" customWidth="1"/>
    <col min="11257" max="11257" width="8.140625" hidden="1" customWidth="1"/>
    <col min="11258" max="11258" width="11.42578125" hidden="1" customWidth="1"/>
    <col min="11259" max="11259" width="11.7109375" hidden="1" customWidth="1"/>
    <col min="11260" max="11260" width="14.85546875" hidden="1" customWidth="1"/>
    <col min="11261" max="11261" width="13.28515625" hidden="1" customWidth="1"/>
    <col min="11262" max="11262" width="5.85546875" hidden="1" customWidth="1"/>
    <col min="11263" max="11263" width="11.42578125" hidden="1" customWidth="1"/>
    <col min="11511" max="11511" width="6.28515625" hidden="1" customWidth="1"/>
    <col min="11512" max="11512" width="37.140625" hidden="1" customWidth="1"/>
    <col min="11513" max="11513" width="8.140625" hidden="1" customWidth="1"/>
    <col min="11514" max="11514" width="11.42578125" hidden="1" customWidth="1"/>
    <col min="11515" max="11515" width="11.7109375" hidden="1" customWidth="1"/>
    <col min="11516" max="11516" width="14.85546875" hidden="1" customWidth="1"/>
    <col min="11517" max="11517" width="13.28515625" hidden="1" customWidth="1"/>
    <col min="11518" max="11518" width="5.85546875" hidden="1" customWidth="1"/>
    <col min="11519" max="11519" width="11.42578125" hidden="1" customWidth="1"/>
    <col min="11767" max="11767" width="6.28515625" hidden="1" customWidth="1"/>
    <col min="11768" max="11768" width="37.140625" hidden="1" customWidth="1"/>
    <col min="11769" max="11769" width="8.140625" hidden="1" customWidth="1"/>
    <col min="11770" max="11770" width="11.42578125" hidden="1" customWidth="1"/>
    <col min="11771" max="11771" width="11.7109375" hidden="1" customWidth="1"/>
    <col min="11772" max="11772" width="14.85546875" hidden="1" customWidth="1"/>
    <col min="11773" max="11773" width="13.28515625" hidden="1" customWidth="1"/>
    <col min="11774" max="11774" width="5.85546875" hidden="1" customWidth="1"/>
    <col min="11775" max="11775" width="11.42578125" hidden="1" customWidth="1"/>
    <col min="12023" max="12023" width="6.28515625" hidden="1" customWidth="1"/>
    <col min="12024" max="12024" width="37.140625" hidden="1" customWidth="1"/>
    <col min="12025" max="12025" width="8.140625" hidden="1" customWidth="1"/>
    <col min="12026" max="12026" width="11.42578125" hidden="1" customWidth="1"/>
    <col min="12027" max="12027" width="11.7109375" hidden="1" customWidth="1"/>
    <col min="12028" max="12028" width="14.85546875" hidden="1" customWidth="1"/>
    <col min="12029" max="12029" width="13.28515625" hidden="1" customWidth="1"/>
    <col min="12030" max="12030" width="5.85546875" hidden="1" customWidth="1"/>
    <col min="12031" max="12031" width="11.42578125" hidden="1" customWidth="1"/>
    <col min="12279" max="12279" width="6.28515625" hidden="1" customWidth="1"/>
    <col min="12280" max="12280" width="37.140625" hidden="1" customWidth="1"/>
    <col min="12281" max="12281" width="8.140625" hidden="1" customWidth="1"/>
    <col min="12282" max="12282" width="11.42578125" hidden="1" customWidth="1"/>
    <col min="12283" max="12283" width="11.7109375" hidden="1" customWidth="1"/>
    <col min="12284" max="12284" width="14.85546875" hidden="1" customWidth="1"/>
    <col min="12285" max="12285" width="13.28515625" hidden="1" customWidth="1"/>
    <col min="12286" max="12286" width="5.85546875" hidden="1" customWidth="1"/>
    <col min="12287" max="12287" width="11.42578125" hidden="1" customWidth="1"/>
    <col min="12535" max="12535" width="6.28515625" hidden="1" customWidth="1"/>
    <col min="12536" max="12536" width="37.140625" hidden="1" customWidth="1"/>
    <col min="12537" max="12537" width="8.140625" hidden="1" customWidth="1"/>
    <col min="12538" max="12538" width="11.42578125" hidden="1" customWidth="1"/>
    <col min="12539" max="12539" width="11.7109375" hidden="1" customWidth="1"/>
    <col min="12540" max="12540" width="14.85546875" hidden="1" customWidth="1"/>
    <col min="12541" max="12541" width="13.28515625" hidden="1" customWidth="1"/>
    <col min="12542" max="12542" width="5.85546875" hidden="1" customWidth="1"/>
    <col min="12543" max="12543" width="11.42578125" hidden="1" customWidth="1"/>
    <col min="12791" max="12791" width="6.28515625" hidden="1" customWidth="1"/>
    <col min="12792" max="12792" width="37.140625" hidden="1" customWidth="1"/>
    <col min="12793" max="12793" width="8.140625" hidden="1" customWidth="1"/>
    <col min="12794" max="12794" width="11.42578125" hidden="1" customWidth="1"/>
    <col min="12795" max="12795" width="11.7109375" hidden="1" customWidth="1"/>
    <col min="12796" max="12796" width="14.85546875" hidden="1" customWidth="1"/>
    <col min="12797" max="12797" width="13.28515625" hidden="1" customWidth="1"/>
    <col min="12798" max="12798" width="5.85546875" hidden="1" customWidth="1"/>
    <col min="12799" max="12799" width="11.42578125" hidden="1" customWidth="1"/>
    <col min="13047" max="13047" width="6.28515625" hidden="1" customWidth="1"/>
    <col min="13048" max="13048" width="37.140625" hidden="1" customWidth="1"/>
    <col min="13049" max="13049" width="8.140625" hidden="1" customWidth="1"/>
    <col min="13050" max="13050" width="11.42578125" hidden="1" customWidth="1"/>
    <col min="13051" max="13051" width="11.7109375" hidden="1" customWidth="1"/>
    <col min="13052" max="13052" width="14.85546875" hidden="1" customWidth="1"/>
    <col min="13053" max="13053" width="13.28515625" hidden="1" customWidth="1"/>
    <col min="13054" max="13054" width="5.85546875" hidden="1" customWidth="1"/>
    <col min="13055" max="13055" width="11.42578125" hidden="1" customWidth="1"/>
    <col min="13303" max="13303" width="6.28515625" hidden="1" customWidth="1"/>
    <col min="13304" max="13304" width="37.140625" hidden="1" customWidth="1"/>
    <col min="13305" max="13305" width="8.140625" hidden="1" customWidth="1"/>
    <col min="13306" max="13306" width="11.42578125" hidden="1" customWidth="1"/>
    <col min="13307" max="13307" width="11.7109375" hidden="1" customWidth="1"/>
    <col min="13308" max="13308" width="14.85546875" hidden="1" customWidth="1"/>
    <col min="13309" max="13309" width="13.28515625" hidden="1" customWidth="1"/>
    <col min="13310" max="13310" width="5.85546875" hidden="1" customWidth="1"/>
    <col min="13311" max="13311" width="11.42578125" hidden="1" customWidth="1"/>
    <col min="13559" max="13559" width="6.28515625" hidden="1" customWidth="1"/>
    <col min="13560" max="13560" width="37.140625" hidden="1" customWidth="1"/>
    <col min="13561" max="13561" width="8.140625" hidden="1" customWidth="1"/>
    <col min="13562" max="13562" width="11.42578125" hidden="1" customWidth="1"/>
    <col min="13563" max="13563" width="11.7109375" hidden="1" customWidth="1"/>
    <col min="13564" max="13564" width="14.85546875" hidden="1" customWidth="1"/>
    <col min="13565" max="13565" width="13.28515625" hidden="1" customWidth="1"/>
    <col min="13566" max="13566" width="5.85546875" hidden="1" customWidth="1"/>
    <col min="13567" max="13567" width="11.42578125" hidden="1" customWidth="1"/>
    <col min="13815" max="13815" width="6.28515625" hidden="1" customWidth="1"/>
    <col min="13816" max="13816" width="37.140625" hidden="1" customWidth="1"/>
    <col min="13817" max="13817" width="8.140625" hidden="1" customWidth="1"/>
    <col min="13818" max="13818" width="11.42578125" hidden="1" customWidth="1"/>
    <col min="13819" max="13819" width="11.7109375" hidden="1" customWidth="1"/>
    <col min="13820" max="13820" width="14.85546875" hidden="1" customWidth="1"/>
    <col min="13821" max="13821" width="13.28515625" hidden="1" customWidth="1"/>
    <col min="13822" max="13822" width="5.85546875" hidden="1" customWidth="1"/>
    <col min="13823" max="13823" width="11.42578125" hidden="1" customWidth="1"/>
    <col min="14071" max="14071" width="6.28515625" hidden="1" customWidth="1"/>
    <col min="14072" max="14072" width="37.140625" hidden="1" customWidth="1"/>
    <col min="14073" max="14073" width="8.140625" hidden="1" customWidth="1"/>
    <col min="14074" max="14074" width="11.42578125" hidden="1" customWidth="1"/>
    <col min="14075" max="14075" width="11.7109375" hidden="1" customWidth="1"/>
    <col min="14076" max="14076" width="14.85546875" hidden="1" customWidth="1"/>
    <col min="14077" max="14077" width="13.28515625" hidden="1" customWidth="1"/>
    <col min="14078" max="14078" width="5.85546875" hidden="1" customWidth="1"/>
    <col min="14079" max="14079" width="11.42578125" hidden="1" customWidth="1"/>
    <col min="14327" max="14327" width="6.28515625" hidden="1" customWidth="1"/>
    <col min="14328" max="14328" width="37.140625" hidden="1" customWidth="1"/>
    <col min="14329" max="14329" width="8.140625" hidden="1" customWidth="1"/>
    <col min="14330" max="14330" width="11.42578125" hidden="1" customWidth="1"/>
    <col min="14331" max="14331" width="11.7109375" hidden="1" customWidth="1"/>
    <col min="14332" max="14332" width="14.85546875" hidden="1" customWidth="1"/>
    <col min="14333" max="14333" width="13.28515625" hidden="1" customWidth="1"/>
    <col min="14334" max="14334" width="5.85546875" hidden="1" customWidth="1"/>
    <col min="14335" max="14335" width="11.42578125" hidden="1" customWidth="1"/>
    <col min="14583" max="14583" width="6.28515625" hidden="1" customWidth="1"/>
    <col min="14584" max="14584" width="37.140625" hidden="1" customWidth="1"/>
    <col min="14585" max="14585" width="8.140625" hidden="1" customWidth="1"/>
    <col min="14586" max="14586" width="11.42578125" hidden="1" customWidth="1"/>
    <col min="14587" max="14587" width="11.7109375" hidden="1" customWidth="1"/>
    <col min="14588" max="14588" width="14.85546875" hidden="1" customWidth="1"/>
    <col min="14589" max="14589" width="13.28515625" hidden="1" customWidth="1"/>
    <col min="14590" max="14590" width="5.85546875" hidden="1" customWidth="1"/>
    <col min="14591" max="14591" width="11.42578125" hidden="1" customWidth="1"/>
    <col min="14839" max="14839" width="6.28515625" hidden="1" customWidth="1"/>
    <col min="14840" max="14840" width="37.140625" hidden="1" customWidth="1"/>
    <col min="14841" max="14841" width="8.140625" hidden="1" customWidth="1"/>
    <col min="14842" max="14842" width="11.42578125" hidden="1" customWidth="1"/>
    <col min="14843" max="14843" width="11.7109375" hidden="1" customWidth="1"/>
    <col min="14844" max="14844" width="14.85546875" hidden="1" customWidth="1"/>
    <col min="14845" max="14845" width="13.28515625" hidden="1" customWidth="1"/>
    <col min="14846" max="14846" width="5.85546875" hidden="1" customWidth="1"/>
    <col min="14847" max="14847" width="11.42578125" hidden="1" customWidth="1"/>
    <col min="15095" max="15095" width="6.28515625" hidden="1" customWidth="1"/>
    <col min="15096" max="15096" width="37.140625" hidden="1" customWidth="1"/>
    <col min="15097" max="15097" width="8.140625" hidden="1" customWidth="1"/>
    <col min="15098" max="15098" width="11.42578125" hidden="1" customWidth="1"/>
    <col min="15099" max="15099" width="11.7109375" hidden="1" customWidth="1"/>
    <col min="15100" max="15100" width="14.85546875" hidden="1" customWidth="1"/>
    <col min="15101" max="15101" width="13.28515625" hidden="1" customWidth="1"/>
    <col min="15102" max="15102" width="5.85546875" hidden="1" customWidth="1"/>
    <col min="15103" max="15103" width="11.42578125" hidden="1" customWidth="1"/>
    <col min="15351" max="15351" width="6.28515625" hidden="1" customWidth="1"/>
    <col min="15352" max="15352" width="37.140625" hidden="1" customWidth="1"/>
    <col min="15353" max="15353" width="8.140625" hidden="1" customWidth="1"/>
    <col min="15354" max="15354" width="11.42578125" hidden="1" customWidth="1"/>
    <col min="15355" max="15355" width="11.7109375" hidden="1" customWidth="1"/>
    <col min="15356" max="15356" width="14.85546875" hidden="1" customWidth="1"/>
    <col min="15357" max="15357" width="13.28515625" hidden="1" customWidth="1"/>
    <col min="15358" max="15358" width="5.85546875" hidden="1" customWidth="1"/>
    <col min="15359" max="15359" width="11.42578125" hidden="1" customWidth="1"/>
    <col min="15607" max="15607" width="6.28515625" hidden="1" customWidth="1"/>
    <col min="15608" max="15608" width="37.140625" hidden="1" customWidth="1"/>
    <col min="15609" max="15609" width="8.140625" hidden="1" customWidth="1"/>
    <col min="15610" max="15610" width="11.42578125" hidden="1" customWidth="1"/>
    <col min="15611" max="15611" width="11.7109375" hidden="1" customWidth="1"/>
    <col min="15612" max="15612" width="14.85546875" hidden="1" customWidth="1"/>
    <col min="15613" max="15613" width="13.28515625" hidden="1" customWidth="1"/>
    <col min="15614" max="15614" width="5.85546875" hidden="1" customWidth="1"/>
    <col min="15615" max="15615" width="11.42578125" hidden="1" customWidth="1"/>
    <col min="15863" max="15863" width="6.28515625" hidden="1" customWidth="1"/>
    <col min="15864" max="15864" width="37.140625" hidden="1" customWidth="1"/>
    <col min="15865" max="15865" width="8.140625" hidden="1" customWidth="1"/>
    <col min="15866" max="15866" width="11.42578125" hidden="1" customWidth="1"/>
    <col min="15867" max="15867" width="11.7109375" hidden="1" customWidth="1"/>
    <col min="15868" max="15868" width="14.85546875" hidden="1" customWidth="1"/>
    <col min="15869" max="15869" width="13.28515625" hidden="1" customWidth="1"/>
    <col min="15870" max="15870" width="5.85546875" hidden="1" customWidth="1"/>
    <col min="15871" max="15871" width="11.42578125" hidden="1" customWidth="1"/>
  </cols>
  <sheetData>
    <row r="1" spans="2:17" ht="15" x14ac:dyDescent="0.25"/>
    <row r="2" spans="2:17" ht="24.75" customHeight="1" x14ac:dyDescent="0.25">
      <c r="B2" s="180" t="s">
        <v>0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</row>
    <row r="3" spans="2:17" ht="24.75" customHeight="1" x14ac:dyDescent="0.25">
      <c r="B3" s="181" t="s">
        <v>253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</row>
    <row r="4" spans="2:17" ht="31.5" customHeight="1" x14ac:dyDescent="0.25">
      <c r="B4" s="182" t="s">
        <v>255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</row>
    <row r="5" spans="2:17" ht="3" customHeight="1" x14ac:dyDescent="0.25"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</row>
    <row r="6" spans="2:17" ht="24.75" customHeight="1" x14ac:dyDescent="0.25">
      <c r="B6" s="184" t="s">
        <v>254</v>
      </c>
      <c r="C6" s="184" t="s">
        <v>2</v>
      </c>
      <c r="D6" s="184"/>
      <c r="E6" s="184" t="s">
        <v>3</v>
      </c>
      <c r="F6" s="184" t="s">
        <v>4</v>
      </c>
      <c r="G6" s="184" t="s">
        <v>5</v>
      </c>
      <c r="H6" s="184" t="s">
        <v>6</v>
      </c>
      <c r="I6" s="184" t="s">
        <v>7</v>
      </c>
      <c r="J6" s="184" t="s">
        <v>71</v>
      </c>
      <c r="K6" s="184" t="s">
        <v>72</v>
      </c>
      <c r="L6" s="184" t="s">
        <v>73</v>
      </c>
      <c r="M6" s="184" t="s">
        <v>8</v>
      </c>
      <c r="N6" s="184" t="s">
        <v>9</v>
      </c>
      <c r="O6" s="184" t="s">
        <v>244</v>
      </c>
      <c r="P6" s="184" t="s">
        <v>245</v>
      </c>
      <c r="Q6" s="185" t="s">
        <v>70</v>
      </c>
    </row>
    <row r="7" spans="2:17" ht="24.75" customHeight="1" x14ac:dyDescent="0.25">
      <c r="B7" s="184"/>
      <c r="C7" s="184"/>
      <c r="D7" s="184"/>
      <c r="E7" s="184" t="s">
        <v>10</v>
      </c>
      <c r="F7" s="184" t="s">
        <v>10</v>
      </c>
      <c r="G7" s="184"/>
      <c r="H7" s="184" t="s">
        <v>10</v>
      </c>
      <c r="I7" s="184" t="s">
        <v>10</v>
      </c>
      <c r="J7" s="184"/>
      <c r="K7" s="184"/>
      <c r="L7" s="184"/>
      <c r="M7" s="184"/>
      <c r="N7" s="184"/>
      <c r="O7" s="184"/>
      <c r="P7" s="184"/>
      <c r="Q7" s="185"/>
    </row>
    <row r="8" spans="2:17" ht="20.100000000000001" customHeight="1" x14ac:dyDescent="0.25">
      <c r="B8" s="184"/>
      <c r="C8" s="184"/>
      <c r="D8" s="184"/>
      <c r="E8" s="184" t="s">
        <v>11</v>
      </c>
      <c r="F8" s="184" t="s">
        <v>11</v>
      </c>
      <c r="G8" s="184"/>
      <c r="H8" s="184" t="s">
        <v>11</v>
      </c>
      <c r="I8" s="184" t="s">
        <v>11</v>
      </c>
      <c r="J8" s="184"/>
      <c r="K8" s="184"/>
      <c r="L8" s="184"/>
      <c r="M8" s="184"/>
      <c r="N8" s="184"/>
      <c r="O8" s="184"/>
      <c r="P8" s="184"/>
      <c r="Q8" s="185"/>
    </row>
    <row r="9" spans="2:17" ht="3" customHeight="1" x14ac:dyDescent="0.25">
      <c r="B9" s="187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9"/>
    </row>
    <row r="10" spans="2:17" ht="20.100000000000001" customHeight="1" x14ac:dyDescent="0.25">
      <c r="B10" s="146" t="s">
        <v>12</v>
      </c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8"/>
    </row>
    <row r="11" spans="2:17" ht="19.5" customHeight="1" x14ac:dyDescent="0.25">
      <c r="B11" s="145" t="s">
        <v>13</v>
      </c>
      <c r="C11" s="186" t="s">
        <v>14</v>
      </c>
      <c r="D11" s="186"/>
      <c r="E11" s="143">
        <f>+_xlfn.XLOOKUP(C11,'2026'!$B$2:$B$18,'2026'!$C$2:$C$18)</f>
        <v>7977945</v>
      </c>
      <c r="F11" s="143">
        <v>0</v>
      </c>
      <c r="G11" s="143">
        <v>0</v>
      </c>
      <c r="H11" s="143">
        <f>+_xlfn.XLOOKUP(C11,'2026'!$B$2:$B$18,'2026'!$D$2:$D$18)</f>
        <v>14183014</v>
      </c>
      <c r="I11" s="143">
        <f>+_xlfn.XLOOKUP(C11,'2026'!$B$2:$B$18,'2026'!$F$2:$F$18)</f>
        <v>0</v>
      </c>
      <c r="J11" s="143">
        <f>+_xlfn.XLOOKUP(C11,'2026'!$B$2:$B$18,'2026'!$I$2:$I$18)</f>
        <v>41167101</v>
      </c>
      <c r="K11" s="143">
        <v>0</v>
      </c>
      <c r="L11" s="143">
        <f>+_xlfn.XLOOKUP(C11,'2026'!$B$2:$B$18,'2026'!$K$2:$K$18)</f>
        <v>0</v>
      </c>
      <c r="M11" s="143">
        <v>0</v>
      </c>
      <c r="N11" s="143">
        <v>0</v>
      </c>
      <c r="O11" s="143">
        <v>0</v>
      </c>
      <c r="P11" s="143">
        <v>0</v>
      </c>
      <c r="Q11" s="144">
        <f t="shared" ref="Q11:Q20" si="0">+SUM(E11:P11)</f>
        <v>63328060</v>
      </c>
    </row>
    <row r="12" spans="2:17" ht="19.5" customHeight="1" x14ac:dyDescent="0.25">
      <c r="B12" s="145" t="s">
        <v>15</v>
      </c>
      <c r="C12" s="186" t="s">
        <v>16</v>
      </c>
      <c r="D12" s="186"/>
      <c r="E12" s="143">
        <f>+_xlfn.XLOOKUP(C12,'2026'!$B$2:$B$18,'2026'!$C$2:$C$18)</f>
        <v>7977945</v>
      </c>
      <c r="F12" s="143">
        <v>0</v>
      </c>
      <c r="G12" s="143">
        <v>0</v>
      </c>
      <c r="H12" s="143">
        <f>+_xlfn.XLOOKUP(C12,'2026'!$B$2:$B$18,'2026'!$D$2:$D$18)</f>
        <v>14183014</v>
      </c>
      <c r="I12" s="143">
        <f>+_xlfn.XLOOKUP(C12,'2026'!$B$2:$B$18,'2026'!$F$2:$F$18)</f>
        <v>0</v>
      </c>
      <c r="J12" s="143">
        <f>+_xlfn.XLOOKUP(C12,'2026'!$B$2:$B$18,'2026'!$I$2:$I$18)</f>
        <v>41167101</v>
      </c>
      <c r="K12" s="143">
        <v>0</v>
      </c>
      <c r="L12" s="143">
        <f>+_xlfn.XLOOKUP(C12,'2026'!$B$2:$B$18,'2026'!$K$2:$K$18)</f>
        <v>0</v>
      </c>
      <c r="M12" s="143">
        <v>0</v>
      </c>
      <c r="N12" s="143">
        <v>0</v>
      </c>
      <c r="O12" s="143">
        <v>0</v>
      </c>
      <c r="P12" s="143">
        <v>0</v>
      </c>
      <c r="Q12" s="144">
        <f t="shared" si="0"/>
        <v>63328060</v>
      </c>
    </row>
    <row r="13" spans="2:17" ht="19.5" customHeight="1" x14ac:dyDescent="0.25">
      <c r="B13" s="145" t="s">
        <v>17</v>
      </c>
      <c r="C13" s="186" t="s">
        <v>18</v>
      </c>
      <c r="D13" s="186"/>
      <c r="E13" s="143">
        <f>+_xlfn.XLOOKUP(C13,'2026'!$B$2:$B$18,'2026'!$C$2:$C$18)</f>
        <v>7977945</v>
      </c>
      <c r="F13" s="143">
        <v>0</v>
      </c>
      <c r="G13" s="143">
        <v>0</v>
      </c>
      <c r="H13" s="143">
        <f>+_xlfn.XLOOKUP(C13,'2026'!$B$2:$B$18,'2026'!$D$2:$D$18)</f>
        <v>14183014</v>
      </c>
      <c r="I13" s="143">
        <f>+_xlfn.XLOOKUP(C13,'2026'!$B$2:$B$18,'2026'!$F$2:$F$18)</f>
        <v>0</v>
      </c>
      <c r="J13" s="143">
        <f>+_xlfn.XLOOKUP(C13,'2026'!$B$2:$B$18,'2026'!$I$2:$I$18)</f>
        <v>41167101</v>
      </c>
      <c r="K13" s="143">
        <v>0</v>
      </c>
      <c r="L13" s="143">
        <f>+_xlfn.XLOOKUP(C13,'2026'!$B$2:$B$18,'2026'!$K$2:$K$18)</f>
        <v>0</v>
      </c>
      <c r="M13" s="143">
        <v>0</v>
      </c>
      <c r="N13" s="143">
        <v>0</v>
      </c>
      <c r="O13" s="143">
        <v>0</v>
      </c>
      <c r="P13" s="143">
        <v>0</v>
      </c>
      <c r="Q13" s="144">
        <f t="shared" si="0"/>
        <v>63328060</v>
      </c>
    </row>
    <row r="14" spans="2:17" ht="19.5" customHeight="1" x14ac:dyDescent="0.25">
      <c r="B14" s="145" t="s">
        <v>19</v>
      </c>
      <c r="C14" s="186" t="s">
        <v>20</v>
      </c>
      <c r="D14" s="186"/>
      <c r="E14" s="143">
        <f>+_xlfn.XLOOKUP(C14,'2026'!$B$2:$B$18,'2026'!$C$2:$C$18)</f>
        <v>11126532</v>
      </c>
      <c r="F14" s="143">
        <v>0</v>
      </c>
      <c r="G14" s="143">
        <v>0</v>
      </c>
      <c r="H14" s="143">
        <f>+_xlfn.XLOOKUP(C14,'2026'!$B$2:$B$18,'2026'!$D$2:$D$18)</f>
        <v>11126520</v>
      </c>
      <c r="I14" s="143">
        <f>+_xlfn.XLOOKUP(C14,'2026'!$B$2:$B$18,'2026'!$F$2:$F$18)</f>
        <v>9769095</v>
      </c>
      <c r="J14" s="143">
        <f>+_xlfn.XLOOKUP(C14,'2026'!$B$2:$B$18,'2026'!$I$2:$I$18)</f>
        <v>0</v>
      </c>
      <c r="K14" s="143">
        <v>0</v>
      </c>
      <c r="L14" s="143">
        <f>+_xlfn.XLOOKUP(C14,'2026'!$B$2:$B$18,'2026'!$K$2:$K$18)</f>
        <v>5963821</v>
      </c>
      <c r="M14" s="143">
        <v>0</v>
      </c>
      <c r="N14" s="143">
        <v>0</v>
      </c>
      <c r="O14" s="143">
        <v>0</v>
      </c>
      <c r="P14" s="143">
        <v>0</v>
      </c>
      <c r="Q14" s="144">
        <f t="shared" si="0"/>
        <v>37985968</v>
      </c>
    </row>
    <row r="15" spans="2:17" ht="19.5" customHeight="1" x14ac:dyDescent="0.25">
      <c r="B15" s="145" t="s">
        <v>21</v>
      </c>
      <c r="C15" s="186" t="s">
        <v>22</v>
      </c>
      <c r="D15" s="186"/>
      <c r="E15" s="143">
        <f>+_xlfn.XLOOKUP(C15,'2026'!$B$2:$B$18,'2026'!$C$2:$C$18)</f>
        <v>11126532</v>
      </c>
      <c r="F15" s="143">
        <v>0</v>
      </c>
      <c r="G15" s="143">
        <v>0</v>
      </c>
      <c r="H15" s="143">
        <f>+_xlfn.XLOOKUP(C15,'2026'!$B$2:$B$18,'2026'!$D$2:$D$18)</f>
        <v>11126520</v>
      </c>
      <c r="I15" s="143">
        <f>+_xlfn.XLOOKUP(C15,'2026'!$B$2:$B$18,'2026'!$F$2:$F$18)</f>
        <v>9769095</v>
      </c>
      <c r="J15" s="143">
        <f>+_xlfn.XLOOKUP(C15,'2026'!$B$2:$B$18,'2026'!$I$2:$I$18)</f>
        <v>0</v>
      </c>
      <c r="K15" s="143">
        <v>0</v>
      </c>
      <c r="L15" s="143">
        <f>+_xlfn.XLOOKUP(C15,'2026'!$B$2:$B$18,'2026'!$K$2:$K$18)</f>
        <v>5963821</v>
      </c>
      <c r="M15" s="143">
        <v>0</v>
      </c>
      <c r="N15" s="143">
        <v>0</v>
      </c>
      <c r="O15" s="143">
        <v>0</v>
      </c>
      <c r="P15" s="143">
        <v>0</v>
      </c>
      <c r="Q15" s="144">
        <f t="shared" si="0"/>
        <v>37985968</v>
      </c>
    </row>
    <row r="16" spans="2:17" ht="19.5" customHeight="1" x14ac:dyDescent="0.25">
      <c r="B16" s="145" t="s">
        <v>23</v>
      </c>
      <c r="C16" s="186" t="s">
        <v>24</v>
      </c>
      <c r="D16" s="186"/>
      <c r="E16" s="143">
        <f>+_xlfn.XLOOKUP(C16,'2026'!$B$2:$B$18,'2026'!$C$2:$C$18)</f>
        <v>11126532</v>
      </c>
      <c r="F16" s="143">
        <v>0</v>
      </c>
      <c r="G16" s="143">
        <v>0</v>
      </c>
      <c r="H16" s="143">
        <f>+_xlfn.XLOOKUP(C16,'2026'!$B$2:$B$18,'2026'!$D$2:$D$18)</f>
        <v>11126520</v>
      </c>
      <c r="I16" s="143">
        <f>+_xlfn.XLOOKUP(C16,'2026'!$B$2:$B$18,'2026'!$F$2:$F$18)</f>
        <v>9769095</v>
      </c>
      <c r="J16" s="143">
        <f>+_xlfn.XLOOKUP(C16,'2026'!$B$2:$B$18,'2026'!$I$2:$I$18)</f>
        <v>0</v>
      </c>
      <c r="K16" s="143">
        <v>0</v>
      </c>
      <c r="L16" s="143">
        <f>+_xlfn.XLOOKUP(C16,'2026'!$B$2:$B$18,'2026'!$K$2:$K$18)</f>
        <v>5963821</v>
      </c>
      <c r="M16" s="143">
        <v>0</v>
      </c>
      <c r="N16" s="143">
        <v>0</v>
      </c>
      <c r="O16" s="143">
        <v>0</v>
      </c>
      <c r="P16" s="143">
        <v>0</v>
      </c>
      <c r="Q16" s="144">
        <f t="shared" si="0"/>
        <v>37985968</v>
      </c>
    </row>
    <row r="17" spans="2:17" ht="19.5" customHeight="1" x14ac:dyDescent="0.25">
      <c r="B17" s="145" t="s">
        <v>25</v>
      </c>
      <c r="C17" s="186" t="s">
        <v>26</v>
      </c>
      <c r="D17" s="186"/>
      <c r="E17" s="143">
        <f>+_xlfn.XLOOKUP(C17,'2026'!$B$2:$B$18,'2026'!$C$2:$C$18)</f>
        <v>11126532</v>
      </c>
      <c r="F17" s="143">
        <v>0</v>
      </c>
      <c r="G17" s="143">
        <v>0</v>
      </c>
      <c r="H17" s="143">
        <f>+_xlfn.XLOOKUP(C17,'2026'!$B$2:$B$18,'2026'!$D$2:$D$18)</f>
        <v>11126520</v>
      </c>
      <c r="I17" s="143">
        <f>+_xlfn.XLOOKUP(C17,'2026'!$B$2:$B$18,'2026'!$F$2:$F$18)</f>
        <v>9769095</v>
      </c>
      <c r="J17" s="143">
        <f>+_xlfn.XLOOKUP(C17,'2026'!$B$2:$B$18,'2026'!$I$2:$I$18)</f>
        <v>0</v>
      </c>
      <c r="K17" s="143">
        <v>0</v>
      </c>
      <c r="L17" s="143">
        <f>+_xlfn.XLOOKUP(C17,'2026'!$B$2:$B$18,'2026'!$K$2:$K$18)</f>
        <v>5963821</v>
      </c>
      <c r="M17" s="143">
        <v>0</v>
      </c>
      <c r="N17" s="143">
        <v>0</v>
      </c>
      <c r="O17" s="143">
        <v>0</v>
      </c>
      <c r="P17" s="143">
        <v>0</v>
      </c>
      <c r="Q17" s="144">
        <f t="shared" si="0"/>
        <v>37985968</v>
      </c>
    </row>
    <row r="18" spans="2:17" ht="19.5" customHeight="1" x14ac:dyDescent="0.25">
      <c r="B18" s="145" t="s">
        <v>27</v>
      </c>
      <c r="C18" s="186" t="s">
        <v>28</v>
      </c>
      <c r="D18" s="186"/>
      <c r="E18" s="143">
        <f>+_xlfn.XLOOKUP(C18,'2026'!$B$2:$B$18,'2026'!$C$2:$C$18)</f>
        <v>10865953</v>
      </c>
      <c r="F18" s="143">
        <v>0</v>
      </c>
      <c r="G18" s="143">
        <v>0</v>
      </c>
      <c r="H18" s="143">
        <f>+_xlfn.XLOOKUP(C18,'2026'!$B$2:$B$18,'2026'!$D$2:$D$18)</f>
        <v>8482259</v>
      </c>
      <c r="I18" s="143">
        <f>+_xlfn.XLOOKUP(C18,'2026'!$B$2:$B$18,'2026'!$F$2:$F$18)</f>
        <v>0</v>
      </c>
      <c r="J18" s="143">
        <f>+_xlfn.XLOOKUP(C18,'2026'!$B$2:$B$18,'2026'!$I$2:$I$18)</f>
        <v>0</v>
      </c>
      <c r="K18" s="143">
        <v>0</v>
      </c>
      <c r="L18" s="143">
        <f>+_xlfn.XLOOKUP(C18,'2026'!$B$2:$B$18,'2026'!$K$2:$K$18)</f>
        <v>2652328</v>
      </c>
      <c r="M18" s="143">
        <v>0</v>
      </c>
      <c r="N18" s="143">
        <v>0</v>
      </c>
      <c r="O18" s="143">
        <v>0</v>
      </c>
      <c r="P18" s="143">
        <v>0</v>
      </c>
      <c r="Q18" s="144">
        <f t="shared" si="0"/>
        <v>22000540</v>
      </c>
    </row>
    <row r="19" spans="2:17" ht="19.5" customHeight="1" x14ac:dyDescent="0.25">
      <c r="B19" s="145" t="s">
        <v>29</v>
      </c>
      <c r="C19" s="186" t="s">
        <v>30</v>
      </c>
      <c r="D19" s="186"/>
      <c r="E19" s="143">
        <f>+_xlfn.XLOOKUP(C19,'2026'!$B$2:$B$18,'2026'!$C$2:$C$18)</f>
        <v>8483475</v>
      </c>
      <c r="F19" s="143">
        <v>0</v>
      </c>
      <c r="G19" s="143">
        <v>0</v>
      </c>
      <c r="H19" s="143">
        <f>+_xlfn.XLOOKUP(C19,'2026'!$B$2:$B$18,'2026'!$D$2:$D$18)</f>
        <v>8483470</v>
      </c>
      <c r="I19" s="143">
        <f>+_xlfn.XLOOKUP(C19,'2026'!$B$2:$B$18,'2026'!$F$2:$F$18)</f>
        <v>0</v>
      </c>
      <c r="J19" s="143">
        <f>+_xlfn.XLOOKUP(C19,'2026'!$B$2:$B$18,'2026'!$I$2:$I$18)</f>
        <v>0</v>
      </c>
      <c r="K19" s="143">
        <v>0</v>
      </c>
      <c r="L19" s="143">
        <f>+_xlfn.XLOOKUP(C19,'2026'!$B$2:$B$18,'2026'!$K$2:$K$18)</f>
        <v>4656441</v>
      </c>
      <c r="M19" s="143">
        <v>0</v>
      </c>
      <c r="N19" s="143">
        <v>0</v>
      </c>
      <c r="O19" s="143">
        <v>0</v>
      </c>
      <c r="P19" s="143">
        <v>0</v>
      </c>
      <c r="Q19" s="144">
        <f t="shared" si="0"/>
        <v>21623386</v>
      </c>
    </row>
    <row r="20" spans="2:17" ht="19.5" customHeight="1" x14ac:dyDescent="0.25">
      <c r="B20" s="145" t="s">
        <v>31</v>
      </c>
      <c r="C20" s="186" t="s">
        <v>32</v>
      </c>
      <c r="D20" s="186"/>
      <c r="E20" s="143">
        <f>+_xlfn.XLOOKUP(C20,'2026'!$B$2:$B$18,'2026'!$C$2:$C$18)</f>
        <v>7368379</v>
      </c>
      <c r="F20" s="143">
        <v>0</v>
      </c>
      <c r="G20" s="143">
        <v>0</v>
      </c>
      <c r="H20" s="143">
        <f>+_xlfn.XLOOKUP(C20,'2026'!$B$2:$B$18,'2026'!$D$2:$D$18)</f>
        <v>7368374</v>
      </c>
      <c r="I20" s="143">
        <f>+_xlfn.XLOOKUP(C20,'2026'!$B$2:$B$18,'2026'!$F$2:$F$18)</f>
        <v>0</v>
      </c>
      <c r="J20" s="143">
        <f>+_xlfn.XLOOKUP(C20,'2026'!$B$2:$B$18,'2026'!$I$2:$I$18)</f>
        <v>0</v>
      </c>
      <c r="K20" s="143">
        <v>0</v>
      </c>
      <c r="L20" s="143">
        <f>+_xlfn.XLOOKUP(C20,'2026'!$B$2:$B$18,'2026'!$K$2:$K$18)</f>
        <v>0</v>
      </c>
      <c r="M20" s="143">
        <v>0</v>
      </c>
      <c r="N20" s="143">
        <v>0</v>
      </c>
      <c r="O20" s="143">
        <v>0</v>
      </c>
      <c r="P20" s="143">
        <v>0</v>
      </c>
      <c r="Q20" s="144">
        <f t="shared" si="0"/>
        <v>14736753</v>
      </c>
    </row>
    <row r="21" spans="2:17" ht="12.75" customHeight="1" x14ac:dyDescent="0.25"/>
    <row r="22" spans="2:17" ht="12.75" customHeight="1" x14ac:dyDescent="0.25"/>
    <row r="23" spans="2:17" ht="12.75" customHeight="1" x14ac:dyDescent="0.25"/>
    <row r="24" spans="2:17" ht="12.75" customHeight="1" x14ac:dyDescent="0.25"/>
    <row r="25" spans="2:17" ht="12.75" hidden="1" customHeight="1" x14ac:dyDescent="0.25"/>
    <row r="26" spans="2:17" ht="12.75" hidden="1" customHeight="1" x14ac:dyDescent="0.25"/>
    <row r="27" spans="2:17" ht="12.75" hidden="1" customHeight="1" x14ac:dyDescent="0.25"/>
    <row r="28" spans="2:17" ht="12.75" hidden="1" customHeight="1" x14ac:dyDescent="0.25"/>
    <row r="29" spans="2:17" ht="12.75" hidden="1" customHeight="1" x14ac:dyDescent="0.25"/>
    <row r="30" spans="2:17" ht="12.75" hidden="1" customHeight="1" x14ac:dyDescent="0.25"/>
    <row r="31" spans="2:17" ht="12.75" hidden="1" customHeight="1" x14ac:dyDescent="0.25"/>
    <row r="32" spans="2:17" ht="12.75" hidden="1" customHeight="1" x14ac:dyDescent="0.25"/>
    <row r="33" ht="12.75" hidden="1" customHeight="1" x14ac:dyDescent="0.25"/>
    <row r="34" ht="12.75" hidden="1" customHeight="1" x14ac:dyDescent="0.25"/>
    <row r="35" ht="12.75" hidden="1" customHeight="1" x14ac:dyDescent="0.25"/>
    <row r="36" ht="12.75" hidden="1" customHeight="1" x14ac:dyDescent="0.25"/>
    <row r="37" ht="12.75" hidden="1" customHeight="1" x14ac:dyDescent="0.25"/>
  </sheetData>
  <sheetProtection formatCells="0" selectLockedCells="1"/>
  <mergeCells count="30">
    <mergeCell ref="C17:D17"/>
    <mergeCell ref="C18:D18"/>
    <mergeCell ref="C19:D19"/>
    <mergeCell ref="C20:D20"/>
    <mergeCell ref="C12:D12"/>
    <mergeCell ref="C13:D13"/>
    <mergeCell ref="C14:D14"/>
    <mergeCell ref="C15:D15"/>
    <mergeCell ref="C16:D16"/>
    <mergeCell ref="B9:Q9"/>
    <mergeCell ref="C11:D11"/>
    <mergeCell ref="J6:J8"/>
    <mergeCell ref="K6:K8"/>
    <mergeCell ref="L6:L8"/>
    <mergeCell ref="M6:M8"/>
    <mergeCell ref="N6:N8"/>
    <mergeCell ref="E6:E8"/>
    <mergeCell ref="F6:F8"/>
    <mergeCell ref="G6:G8"/>
    <mergeCell ref="H6:H8"/>
    <mergeCell ref="I6:I8"/>
    <mergeCell ref="B2:Q2"/>
    <mergeCell ref="B3:Q3"/>
    <mergeCell ref="B4:Q4"/>
    <mergeCell ref="B5:Q5"/>
    <mergeCell ref="B6:B8"/>
    <mergeCell ref="C6:D8"/>
    <mergeCell ref="O6:O8"/>
    <mergeCell ref="P6:P8"/>
    <mergeCell ref="Q6:Q8"/>
  </mergeCells>
  <printOptions horizontalCentered="1" verticalCentered="1" gridLinesSet="0"/>
  <pageMargins left="0.15748031496062992" right="0.15748031496062992" top="0.59055118110236227" bottom="0.59055118110236227" header="0.51181102362204722" footer="0.51181102362204722"/>
  <pageSetup paperSize="256" scale="7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81C0264B8044983D4D78886BCBA71" ma:contentTypeVersion="4" ma:contentTypeDescription="Crear nuevo documento." ma:contentTypeScope="" ma:versionID="bfa8e4e4b72e63c09f84ba64440e7ed7">
  <xsd:schema xmlns:xsd="http://www.w3.org/2001/XMLSchema" xmlns:xs="http://www.w3.org/2001/XMLSchema" xmlns:p="http://schemas.microsoft.com/office/2006/metadata/properties" xmlns:ns1="http://schemas.microsoft.com/sharepoint/v3" xmlns:ns2="2527769d-9d09-4668-95f1-a7f37efe50c6" targetNamespace="http://schemas.microsoft.com/office/2006/metadata/properties" ma:root="true" ma:fieldsID="8889946f31b416fc12dba8c86264a4f3" ns1:_="" ns2:_="">
    <xsd:import namespace="http://schemas.microsoft.com/sharepoint/v3"/>
    <xsd:import namespace="2527769d-9d09-4668-95f1-a7f37efe50c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Fecha" minOccurs="0"/>
                <xsd:element ref="ns2:r5zb" minOccurs="0"/>
                <xsd:element ref="ns2:Fe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7769d-9d09-4668-95f1-a7f37efe50c6" elementFormDefault="qualified">
    <xsd:import namespace="http://schemas.microsoft.com/office/2006/documentManagement/types"/>
    <xsd:import namespace="http://schemas.microsoft.com/office/infopath/2007/PartnerControls"/>
    <xsd:element name="Fecha" ma:index="10" nillable="true" ma:displayName="Fecha" ma:format="DateTime" ma:internalName="Fecha">
      <xsd:simpleType>
        <xsd:restriction base="dms:DateTime"/>
      </xsd:simpleType>
    </xsd:element>
    <xsd:element name="r5zb" ma:index="11" nillable="true" ma:displayName="Fecha y hora" ma:internalName="r5zb">
      <xsd:simpleType>
        <xsd:restriction base="dms:DateTime"/>
      </xsd:simpleType>
    </xsd:element>
    <xsd:element name="Fec" ma:index="12" nillable="true" ma:displayName="Fec" ma:format="DateOnly" ma:internalName="Fec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2527769d-9d09-4668-95f1-a7f37efe50c6" xsi:nil="true"/>
    <Fec xmlns="2527769d-9d09-4668-95f1-a7f37efe50c6" xsi:nil="true"/>
    <PublishingExpirationDate xmlns="http://schemas.microsoft.com/sharepoint/v3" xsi:nil="true"/>
    <PublishingStartDate xmlns="http://schemas.microsoft.com/sharepoint/v3" xsi:nil="true"/>
    <r5zb xmlns="2527769d-9d09-4668-95f1-a7f37efe50c6" xsi:nil="true"/>
  </documentManagement>
</p:properties>
</file>

<file path=customXml/itemProps1.xml><?xml version="1.0" encoding="utf-8"?>
<ds:datastoreItem xmlns:ds="http://schemas.openxmlformats.org/officeDocument/2006/customXml" ds:itemID="{8CA05A92-471E-4AED-A75C-DD4E178B3115}"/>
</file>

<file path=customXml/itemProps2.xml><?xml version="1.0" encoding="utf-8"?>
<ds:datastoreItem xmlns:ds="http://schemas.openxmlformats.org/officeDocument/2006/customXml" ds:itemID="{C36B7D33-2C18-4A34-AF90-BBDC6381C5B6}"/>
</file>

<file path=customXml/itemProps3.xml><?xml version="1.0" encoding="utf-8"?>
<ds:datastoreItem xmlns:ds="http://schemas.openxmlformats.org/officeDocument/2006/customXml" ds:itemID="{4C2E1774-030C-4C79-BC7A-A0F6A91BB3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Escala Salarial Directivos</vt:lpstr>
      <vt:lpstr>2024 A</vt:lpstr>
      <vt:lpstr>2026</vt:lpstr>
      <vt:lpstr>Escala Salarial PGN 2026</vt:lpstr>
      <vt:lpstr>Salario Directivos PGN 2024</vt:lpstr>
      <vt:lpstr>'Escala Salarial PGN 2026'!Área_de_impresión</vt:lpstr>
      <vt:lpstr>'Salario Directivos PGN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Pereira Toro</dc:creator>
  <cp:lastModifiedBy>Fernando Pereira Toro</cp:lastModifiedBy>
  <cp:lastPrinted>2026-06-17T18:39:10Z</cp:lastPrinted>
  <dcterms:created xsi:type="dcterms:W3CDTF">2021-01-14T19:18:36Z</dcterms:created>
  <dcterms:modified xsi:type="dcterms:W3CDTF">2026-06-17T18:40:28Z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0x01010011B81C0264B8044983D4D78886BCBA71</vt:lpwstr>
  </property>
</Properties>
</file>